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mpulan file\HASIL REVIU PENGADAAN 2022\Emplacement Env. Management\P02210772 PENGADAAN JASA PEKERJAAN PEMBERSIHAN DAN PEMELIHARAAN LINGKUNGAN EMPLACEMENT WILAYAH KUMORO SELAMA 2 TAHUN\Lelang\"/>
    </mc:Choice>
  </mc:AlternateContent>
  <xr:revisionPtr revIDLastSave="0" documentId="8_{CDD3F532-CA7D-4720-9EB2-0546B9AC2A10}" xr6:coauthVersionLast="47" xr6:coauthVersionMax="47" xr10:uidLastSave="{00000000-0000-0000-0000-000000000000}"/>
  <bookViews>
    <workbookView xWindow="-120" yWindow="-120" windowWidth="20730" windowHeight="11310" firstSheet="2" activeTab="2" xr2:uid="{71E297EB-BCFA-CA46-A3C9-33EFE714B540}"/>
  </bookViews>
  <sheets>
    <sheet name="TABEL LUASAN FN (3)" sheetId="10" state="hidden" r:id="rId1"/>
    <sheet name="ANALISA BIAYA R1" sheetId="2" state="hidden" r:id="rId2"/>
    <sheet name="BoQ" sheetId="35" r:id="rId3"/>
    <sheet name="TABEL LUASAN FN (2)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5" l="1"/>
  <c r="H7" i="35" s="1"/>
  <c r="I7" i="35" s="1"/>
  <c r="G8" i="35"/>
  <c r="H8" i="35" s="1"/>
  <c r="I8" i="35" s="1"/>
  <c r="G9" i="35"/>
  <c r="H9" i="35" s="1"/>
  <c r="I9" i="35" s="1"/>
  <c r="G10" i="35"/>
  <c r="H10" i="35" s="1"/>
  <c r="I10" i="35" s="1"/>
  <c r="I11" i="35" l="1"/>
  <c r="H11" i="35"/>
  <c r="G11" i="35"/>
  <c r="I12" i="35" l="1"/>
  <c r="I13" i="35" s="1"/>
  <c r="P177" i="2" l="1"/>
  <c r="P176" i="2" l="1"/>
  <c r="P175" i="2"/>
  <c r="P174" i="2" l="1"/>
  <c r="P178" i="2" s="1"/>
  <c r="P181" i="2"/>
  <c r="G180" i="2" s="1"/>
  <c r="I188" i="2"/>
  <c r="H158" i="2"/>
  <c r="G141" i="2"/>
  <c r="G132" i="2"/>
  <c r="G131" i="2"/>
  <c r="D48" i="2"/>
  <c r="G90" i="2"/>
  <c r="H90" i="2" s="1"/>
  <c r="G45" i="2"/>
  <c r="H111" i="2"/>
  <c r="I111" i="2" s="1"/>
  <c r="H24" i="2"/>
  <c r="H69" i="2"/>
  <c r="H14" i="2"/>
  <c r="G178" i="2" l="1"/>
  <c r="H178" i="2"/>
  <c r="I178" i="2"/>
  <c r="G133" i="2"/>
  <c r="G89" i="2"/>
  <c r="H89" i="2" s="1"/>
  <c r="G40" i="2"/>
  <c r="G126" i="2" s="1"/>
  <c r="H126" i="2" s="1"/>
  <c r="I126" i="2" s="1"/>
  <c r="K72" i="2"/>
  <c r="K114" i="2" s="1"/>
  <c r="K162" i="2" s="1"/>
  <c r="G47" i="2"/>
  <c r="G135" i="2" s="1"/>
  <c r="G46" i="2"/>
  <c r="H45" i="2"/>
  <c r="I45" i="2" s="1"/>
  <c r="G39" i="2"/>
  <c r="G125" i="2" s="1"/>
  <c r="G38" i="2"/>
  <c r="G124" i="2" s="1"/>
  <c r="G37" i="2"/>
  <c r="G25" i="2"/>
  <c r="H25" i="2"/>
  <c r="P23" i="2"/>
  <c r="H77" i="10"/>
  <c r="H72" i="10" s="1"/>
  <c r="G77" i="10"/>
  <c r="G72" i="10" s="1"/>
  <c r="I68" i="10"/>
  <c r="I69" i="10" s="1"/>
  <c r="O49" i="9"/>
  <c r="M55" i="9"/>
  <c r="O55" i="9" s="1"/>
  <c r="I31" i="9"/>
  <c r="I30" i="9"/>
  <c r="Y79" i="9"/>
  <c r="X77" i="9"/>
  <c r="Y77" i="9" s="1"/>
  <c r="Y76" i="9" s="1"/>
  <c r="V77" i="9"/>
  <c r="V72" i="9" s="1"/>
  <c r="Q77" i="9"/>
  <c r="Q72" i="9" s="1"/>
  <c r="O77" i="9"/>
  <c r="O72" i="9" s="1"/>
  <c r="W74" i="9" s="1"/>
  <c r="J77" i="9"/>
  <c r="J72" i="9" s="1"/>
  <c r="I77" i="9"/>
  <c r="I72" i="9" s="1"/>
  <c r="Y72" i="9"/>
  <c r="P71" i="9"/>
  <c r="N71" i="9"/>
  <c r="M71" i="9"/>
  <c r="L71" i="9"/>
  <c r="K71" i="9"/>
  <c r="V69" i="9"/>
  <c r="V71" i="9" s="1"/>
  <c r="Q69" i="9"/>
  <c r="Q70" i="9" s="1"/>
  <c r="N68" i="9"/>
  <c r="R64" i="9"/>
  <c r="R62" i="9"/>
  <c r="O53" i="9"/>
  <c r="I53" i="9"/>
  <c r="O52" i="9"/>
  <c r="I52" i="9"/>
  <c r="O51" i="9"/>
  <c r="I51" i="9"/>
  <c r="O50" i="9"/>
  <c r="K50" i="9"/>
  <c r="I50" i="9"/>
  <c r="I49" i="9"/>
  <c r="T45" i="9"/>
  <c r="M45" i="9"/>
  <c r="O45" i="9" s="1"/>
  <c r="M47" i="9"/>
  <c r="O47" i="9" s="1"/>
  <c r="I47" i="9"/>
  <c r="M57" i="9"/>
  <c r="O57" i="9" s="1"/>
  <c r="I57" i="9"/>
  <c r="M56" i="9"/>
  <c r="O56" i="9" s="1"/>
  <c r="I56" i="9"/>
  <c r="M48" i="9"/>
  <c r="I48" i="9"/>
  <c r="M46" i="9"/>
  <c r="O46" i="9" s="1"/>
  <c r="I46" i="9"/>
  <c r="M54" i="9"/>
  <c r="I54" i="9"/>
  <c r="O44" i="9"/>
  <c r="M44" i="9"/>
  <c r="I44" i="9"/>
  <c r="O43" i="9"/>
  <c r="K43" i="9"/>
  <c r="X42" i="9"/>
  <c r="Q42" i="9" s="1"/>
  <c r="V42" i="9"/>
  <c r="T42" i="9"/>
  <c r="J42" i="9" s="1"/>
  <c r="K42" i="9"/>
  <c r="M42" i="9" s="1"/>
  <c r="O42" i="9" s="1"/>
  <c r="I42" i="9"/>
  <c r="X41" i="9"/>
  <c r="K41" i="9"/>
  <c r="M41" i="9" s="1"/>
  <c r="O41" i="9" s="1"/>
  <c r="J41" i="9"/>
  <c r="I41" i="9"/>
  <c r="K40" i="9"/>
  <c r="M40" i="9" s="1"/>
  <c r="O40" i="9" s="1"/>
  <c r="I40" i="9"/>
  <c r="K39" i="9"/>
  <c r="M39" i="9" s="1"/>
  <c r="I39" i="9"/>
  <c r="G38" i="9"/>
  <c r="I38" i="9" s="1"/>
  <c r="K37" i="9"/>
  <c r="M37" i="9" s="1"/>
  <c r="O37" i="9" s="1"/>
  <c r="I37" i="9"/>
  <c r="K36" i="9"/>
  <c r="M36" i="9" s="1"/>
  <c r="O36" i="9" s="1"/>
  <c r="I36" i="9"/>
  <c r="K35" i="9"/>
  <c r="M35" i="9" s="1"/>
  <c r="I35" i="9"/>
  <c r="K34" i="9"/>
  <c r="M34" i="9" s="1"/>
  <c r="I34" i="9"/>
  <c r="K33" i="9"/>
  <c r="M33" i="9" s="1"/>
  <c r="O33" i="9" s="1"/>
  <c r="I33" i="9"/>
  <c r="K32" i="9"/>
  <c r="M32" i="9" s="1"/>
  <c r="I32" i="9"/>
  <c r="K31" i="9"/>
  <c r="M31" i="9" s="1"/>
  <c r="K30" i="9"/>
  <c r="M30" i="9" s="1"/>
  <c r="K29" i="9"/>
  <c r="M29" i="9" s="1"/>
  <c r="I29" i="9"/>
  <c r="K28" i="9"/>
  <c r="M28" i="9" s="1"/>
  <c r="O28" i="9" s="1"/>
  <c r="I28" i="9"/>
  <c r="K27" i="9"/>
  <c r="M27" i="9" s="1"/>
  <c r="O27" i="9" s="1"/>
  <c r="I27" i="9"/>
  <c r="M26" i="9"/>
  <c r="G26" i="9"/>
  <c r="I26" i="9" s="1"/>
  <c r="M25" i="9"/>
  <c r="I25" i="9"/>
  <c r="L24" i="9"/>
  <c r="M24" i="9" s="1"/>
  <c r="O24" i="9" s="1"/>
  <c r="G24" i="9"/>
  <c r="I24" i="9" s="1"/>
  <c r="L23" i="9"/>
  <c r="K23" i="9"/>
  <c r="I23" i="9"/>
  <c r="L22" i="9"/>
  <c r="K22" i="9"/>
  <c r="I22" i="9"/>
  <c r="L21" i="9"/>
  <c r="K21" i="9"/>
  <c r="I21" i="9"/>
  <c r="M20" i="9"/>
  <c r="I20" i="9"/>
  <c r="M19" i="9"/>
  <c r="I19" i="9"/>
  <c r="M18" i="9"/>
  <c r="I18" i="9"/>
  <c r="K17" i="9"/>
  <c r="M17" i="9" s="1"/>
  <c r="I17" i="9"/>
  <c r="K16" i="9"/>
  <c r="M16" i="9" s="1"/>
  <c r="I16" i="9"/>
  <c r="K15" i="9"/>
  <c r="M15" i="9" s="1"/>
  <c r="O15" i="9" s="1"/>
  <c r="I15" i="9"/>
  <c r="M14" i="9"/>
  <c r="O14" i="9" s="1"/>
  <c r="I14" i="9"/>
  <c r="K13" i="9"/>
  <c r="M13" i="9" s="1"/>
  <c r="O13" i="9" s="1"/>
  <c r="I13" i="9"/>
  <c r="I12" i="9"/>
  <c r="I11" i="9"/>
  <c r="K10" i="9"/>
  <c r="M10" i="9" s="1"/>
  <c r="O10" i="9" s="1"/>
  <c r="I10" i="9"/>
  <c r="K9" i="9"/>
  <c r="M9" i="9" s="1"/>
  <c r="O9" i="9" s="1"/>
  <c r="I9" i="9"/>
  <c r="K8" i="9"/>
  <c r="M8" i="9" s="1"/>
  <c r="O8" i="9" s="1"/>
  <c r="I8" i="9"/>
  <c r="T7" i="9"/>
  <c r="Q7" i="9"/>
  <c r="M7" i="9"/>
  <c r="O7" i="9" s="1"/>
  <c r="V7" i="9" s="1"/>
  <c r="M6" i="9"/>
  <c r="O6" i="9" s="1"/>
  <c r="G6" i="9"/>
  <c r="I6" i="9" s="1"/>
  <c r="I143" i="2" l="1"/>
  <c r="G81" i="2"/>
  <c r="G123" i="2"/>
  <c r="G127" i="2" s="1"/>
  <c r="I24" i="2"/>
  <c r="I25" i="2" s="1"/>
  <c r="H68" i="10"/>
  <c r="H69" i="10" s="1"/>
  <c r="I71" i="10"/>
  <c r="I70" i="10"/>
  <c r="G68" i="10"/>
  <c r="G69" i="10" s="1"/>
  <c r="O17" i="9"/>
  <c r="O16" i="9"/>
  <c r="X72" i="9"/>
  <c r="V70" i="9"/>
  <c r="R68" i="9"/>
  <c r="R69" i="9" s="1"/>
  <c r="R70" i="9" s="1"/>
  <c r="M22" i="9"/>
  <c r="O22" i="9" s="1"/>
  <c r="M23" i="9"/>
  <c r="O23" i="9" s="1"/>
  <c r="M21" i="9"/>
  <c r="O21" i="9" s="1"/>
  <c r="V73" i="9"/>
  <c r="X68" i="9"/>
  <c r="X69" i="9" s="1"/>
  <c r="X71" i="9" s="1"/>
  <c r="Q71" i="9"/>
  <c r="Q73" i="9" s="1"/>
  <c r="I68" i="9"/>
  <c r="I69" i="9" s="1"/>
  <c r="I71" i="9" s="1"/>
  <c r="I73" i="9" s="1"/>
  <c r="J68" i="9"/>
  <c r="J69" i="9" s="1"/>
  <c r="K38" i="9"/>
  <c r="M38" i="9" s="1"/>
  <c r="R71" i="9" l="1"/>
  <c r="X73" i="9"/>
  <c r="G70" i="10"/>
  <c r="G80" i="10"/>
  <c r="G71" i="10"/>
  <c r="G73" i="10" s="1"/>
  <c r="H71" i="10"/>
  <c r="H73" i="10" s="1"/>
  <c r="H80" i="10"/>
  <c r="H70" i="10"/>
  <c r="P68" i="9"/>
  <c r="O68" i="9"/>
  <c r="O69" i="9" s="1"/>
  <c r="O71" i="9" s="1"/>
  <c r="O73" i="9" s="1"/>
  <c r="X70" i="9"/>
  <c r="X80" i="9"/>
  <c r="K68" i="9"/>
  <c r="M68" i="9"/>
  <c r="I70" i="9"/>
  <c r="I80" i="9"/>
  <c r="L68" i="9"/>
  <c r="J71" i="9"/>
  <c r="J73" i="9" s="1"/>
  <c r="J80" i="9"/>
  <c r="J70" i="9"/>
  <c r="I98" i="2" l="1"/>
  <c r="O80" i="9"/>
  <c r="O70" i="9"/>
  <c r="G171" i="2" l="1"/>
  <c r="N48" i="2"/>
  <c r="I56" i="2" l="1"/>
  <c r="G49" i="2"/>
  <c r="G84" i="2" l="1"/>
  <c r="G174" i="2" s="1"/>
  <c r="G82" i="2"/>
  <c r="G172" i="2"/>
  <c r="I89" i="2"/>
  <c r="D81" i="2"/>
  <c r="D82" i="2" s="1"/>
  <c r="D83" i="2" s="1"/>
  <c r="D84" i="2" s="1"/>
  <c r="H48" i="2"/>
  <c r="I48" i="2" s="1"/>
  <c r="H47" i="2"/>
  <c r="I47" i="2" s="1"/>
  <c r="H46" i="2"/>
  <c r="I46" i="2" s="1"/>
  <c r="G83" i="2"/>
  <c r="G173" i="2" s="1"/>
  <c r="D20" i="2"/>
  <c r="I49" i="2" l="1"/>
  <c r="G130" i="2"/>
  <c r="H130" i="2" s="1"/>
  <c r="I130" i="2" s="1"/>
  <c r="G134" i="2"/>
  <c r="H134" i="2" s="1"/>
  <c r="I134" i="2" s="1"/>
  <c r="O10" i="2" l="1"/>
  <c r="O11" i="2" l="1"/>
  <c r="O12" i="2"/>
  <c r="P13" i="2" s="1"/>
  <c r="G11" i="2" s="1"/>
  <c r="G21" i="2" s="1"/>
  <c r="G66" i="2" s="1"/>
  <c r="G108" i="2" s="1"/>
  <c r="G154" i="2" s="1"/>
  <c r="P12" i="2" l="1"/>
  <c r="G10" i="2" s="1"/>
  <c r="G20" i="2" s="1"/>
  <c r="G65" i="2" s="1"/>
  <c r="G107" i="2" s="1"/>
  <c r="G153" i="2" s="1"/>
  <c r="D186" i="2"/>
  <c r="D185" i="2"/>
  <c r="H180" i="2"/>
  <c r="I180" i="2" s="1"/>
  <c r="C174" i="2"/>
  <c r="H173" i="2"/>
  <c r="I173" i="2" s="1"/>
  <c r="C173" i="2"/>
  <c r="C172" i="2"/>
  <c r="C171" i="2"/>
  <c r="G159" i="2"/>
  <c r="H159" i="2"/>
  <c r="H154" i="2"/>
  <c r="I154" i="2" s="1"/>
  <c r="H135" i="2"/>
  <c r="I135" i="2" s="1"/>
  <c r="H133" i="2"/>
  <c r="I133" i="2" s="1"/>
  <c r="H132" i="2"/>
  <c r="I132" i="2" s="1"/>
  <c r="H131" i="2"/>
  <c r="I131" i="2" s="1"/>
  <c r="C126" i="2"/>
  <c r="C125" i="2"/>
  <c r="C124" i="2"/>
  <c r="C123" i="2"/>
  <c r="D141" i="2"/>
  <c r="D140" i="2"/>
  <c r="I112" i="2"/>
  <c r="G112" i="2"/>
  <c r="H112" i="2"/>
  <c r="C84" i="2"/>
  <c r="C83" i="2"/>
  <c r="C82" i="2"/>
  <c r="C81" i="2"/>
  <c r="C76" i="2"/>
  <c r="C118" i="2" s="1"/>
  <c r="C166" i="2" s="1"/>
  <c r="C75" i="2"/>
  <c r="C117" i="2" s="1"/>
  <c r="C165" i="2" s="1"/>
  <c r="C74" i="2"/>
  <c r="C116" i="2" s="1"/>
  <c r="C164" i="2" s="1"/>
  <c r="C73" i="2"/>
  <c r="C115" i="2" s="1"/>
  <c r="C163" i="2" s="1"/>
  <c r="D72" i="2"/>
  <c r="D95" i="2" s="1"/>
  <c r="C72" i="2"/>
  <c r="C114" i="2" s="1"/>
  <c r="C162" i="2" s="1"/>
  <c r="G70" i="2"/>
  <c r="I69" i="2"/>
  <c r="D28" i="2"/>
  <c r="D29" i="2" s="1"/>
  <c r="D21" i="2"/>
  <c r="H20" i="2"/>
  <c r="I20" i="2" s="1"/>
  <c r="G16" i="2"/>
  <c r="H15" i="2"/>
  <c r="I15" i="2" s="1"/>
  <c r="H11" i="2"/>
  <c r="I11" i="2" s="1"/>
  <c r="G12" i="2"/>
  <c r="I136" i="2" l="1"/>
  <c r="I90" i="2"/>
  <c r="I91" i="2" s="1"/>
  <c r="H70" i="2"/>
  <c r="I70" i="2"/>
  <c r="G32" i="2"/>
  <c r="G53" i="2"/>
  <c r="G31" i="2"/>
  <c r="I181" i="2"/>
  <c r="H66" i="2"/>
  <c r="I66" i="2" s="1"/>
  <c r="H82" i="2"/>
  <c r="I82" i="2" s="1"/>
  <c r="G42" i="2"/>
  <c r="H84" i="2"/>
  <c r="I84" i="2" s="1"/>
  <c r="H171" i="2"/>
  <c r="I171" i="2" s="1"/>
  <c r="H16" i="2"/>
  <c r="H186" i="2"/>
  <c r="I186" i="2" s="1"/>
  <c r="H83" i="2"/>
  <c r="I83" i="2" s="1"/>
  <c r="H108" i="2"/>
  <c r="I108" i="2" s="1"/>
  <c r="H125" i="2"/>
  <c r="I125" i="2" s="1"/>
  <c r="H174" i="2"/>
  <c r="I174" i="2" s="1"/>
  <c r="G28" i="2"/>
  <c r="G155" i="2"/>
  <c r="G67" i="2"/>
  <c r="G72" i="2" s="1"/>
  <c r="H65" i="2"/>
  <c r="I65" i="2" s="1"/>
  <c r="H81" i="2"/>
  <c r="I81" i="2" s="1"/>
  <c r="H124" i="2"/>
  <c r="I124" i="2" s="1"/>
  <c r="H181" i="2"/>
  <c r="H10" i="2"/>
  <c r="I10" i="2" s="1"/>
  <c r="G22" i="2"/>
  <c r="D53" i="2"/>
  <c r="G109" i="2"/>
  <c r="G140" i="2" s="1"/>
  <c r="H172" i="2"/>
  <c r="I172" i="2" s="1"/>
  <c r="H136" i="2"/>
  <c r="H21" i="2"/>
  <c r="I21" i="2" s="1"/>
  <c r="D73" i="2"/>
  <c r="G136" i="2"/>
  <c r="H141" i="2"/>
  <c r="I141" i="2" s="1"/>
  <c r="G181" i="2"/>
  <c r="G175" i="2"/>
  <c r="H153" i="2"/>
  <c r="I158" i="2"/>
  <c r="I159" i="2" s="1"/>
  <c r="H107" i="2"/>
  <c r="I107" i="2" s="1"/>
  <c r="H123" i="2"/>
  <c r="H91" i="2"/>
  <c r="G86" i="2"/>
  <c r="G91" i="2"/>
  <c r="D30" i="2"/>
  <c r="I14" i="2"/>
  <c r="I16" i="2" s="1"/>
  <c r="G29" i="2"/>
  <c r="H29" i="2" s="1"/>
  <c r="I29" i="2" s="1"/>
  <c r="G30" i="2"/>
  <c r="I153" i="2" l="1"/>
  <c r="I155" i="2" s="1"/>
  <c r="H127" i="2"/>
  <c r="I67" i="2"/>
  <c r="H53" i="2"/>
  <c r="I53" i="2" s="1"/>
  <c r="G185" i="2"/>
  <c r="H185" i="2" s="1"/>
  <c r="I185" i="2" s="1"/>
  <c r="G95" i="2"/>
  <c r="H95" i="2" s="1"/>
  <c r="I95" i="2" s="1"/>
  <c r="G166" i="2"/>
  <c r="H166" i="2" s="1"/>
  <c r="I166" i="2" s="1"/>
  <c r="G76" i="2"/>
  <c r="G118" i="2" s="1"/>
  <c r="H118" i="2" s="1"/>
  <c r="I118" i="2" s="1"/>
  <c r="H140" i="2"/>
  <c r="I140" i="2" s="1"/>
  <c r="G114" i="2"/>
  <c r="H114" i="2" s="1"/>
  <c r="I114" i="2" s="1"/>
  <c r="G163" i="2"/>
  <c r="H163" i="2" s="1"/>
  <c r="I163" i="2" s="1"/>
  <c r="G165" i="2"/>
  <c r="H165" i="2" s="1"/>
  <c r="I165" i="2" s="1"/>
  <c r="G162" i="2"/>
  <c r="H162" i="2" s="1"/>
  <c r="I162" i="2" s="1"/>
  <c r="G164" i="2"/>
  <c r="H164" i="2" s="1"/>
  <c r="I164" i="2" s="1"/>
  <c r="I175" i="2"/>
  <c r="G116" i="2"/>
  <c r="H116" i="2" s="1"/>
  <c r="I116" i="2" s="1"/>
  <c r="H67" i="2"/>
  <c r="G73" i="2"/>
  <c r="H73" i="2" s="1"/>
  <c r="I73" i="2" s="1"/>
  <c r="H175" i="2"/>
  <c r="I12" i="2"/>
  <c r="D74" i="2"/>
  <c r="D96" i="2" s="1"/>
  <c r="H96" i="2" s="1"/>
  <c r="I96" i="2" s="1"/>
  <c r="G75" i="2"/>
  <c r="G74" i="2"/>
  <c r="H22" i="2"/>
  <c r="G115" i="2"/>
  <c r="H115" i="2" s="1"/>
  <c r="I115" i="2" s="1"/>
  <c r="I22" i="2"/>
  <c r="H12" i="2"/>
  <c r="G117" i="2"/>
  <c r="H117" i="2" s="1"/>
  <c r="I117" i="2" s="1"/>
  <c r="D85" i="2"/>
  <c r="H85" i="2" s="1"/>
  <c r="H155" i="2"/>
  <c r="I109" i="2"/>
  <c r="H109" i="2"/>
  <c r="I123" i="2"/>
  <c r="I127" i="2" s="1"/>
  <c r="H72" i="2"/>
  <c r="I72" i="2" s="1"/>
  <c r="G33" i="2"/>
  <c r="G51" i="2" s="1"/>
  <c r="H28" i="2"/>
  <c r="I28" i="2" s="1"/>
  <c r="D41" i="2"/>
  <c r="H41" i="2" s="1"/>
  <c r="I41" i="2" s="1"/>
  <c r="D39" i="2"/>
  <c r="H39" i="2" s="1"/>
  <c r="I39" i="2" s="1"/>
  <c r="D37" i="2"/>
  <c r="H37" i="2" s="1"/>
  <c r="I37" i="2" s="1"/>
  <c r="D54" i="2"/>
  <c r="H54" i="2" s="1"/>
  <c r="I54" i="2" s="1"/>
  <c r="D31" i="2"/>
  <c r="H31" i="2" s="1"/>
  <c r="I31" i="2" s="1"/>
  <c r="D40" i="2"/>
  <c r="H40" i="2" s="1"/>
  <c r="I40" i="2" s="1"/>
  <c r="D38" i="2"/>
  <c r="H38" i="2" s="1"/>
  <c r="I38" i="2" s="1"/>
  <c r="H30" i="2"/>
  <c r="I30" i="2" s="1"/>
  <c r="I167" i="2" l="1"/>
  <c r="I183" i="2" s="1"/>
  <c r="G167" i="2"/>
  <c r="D75" i="2"/>
  <c r="D76" i="2" s="1"/>
  <c r="H76" i="2" s="1"/>
  <c r="I76" i="2" s="1"/>
  <c r="H74" i="2"/>
  <c r="I74" i="2" s="1"/>
  <c r="D32" i="2"/>
  <c r="H32" i="2" s="1"/>
  <c r="I32" i="2" s="1"/>
  <c r="G77" i="2"/>
  <c r="G93" i="2" s="1"/>
  <c r="G119" i="2"/>
  <c r="G138" i="2" s="1"/>
  <c r="G139" i="2" s="1"/>
  <c r="I85" i="2"/>
  <c r="I86" i="2" s="1"/>
  <c r="H86" i="2"/>
  <c r="H167" i="2"/>
  <c r="H183" i="2" s="1"/>
  <c r="I119" i="2"/>
  <c r="I138" i="2" s="1"/>
  <c r="H119" i="2"/>
  <c r="H42" i="2"/>
  <c r="I42" i="2"/>
  <c r="G183" i="2" l="1"/>
  <c r="G184" i="2" s="1"/>
  <c r="G94" i="2"/>
  <c r="H75" i="2"/>
  <c r="I75" i="2" s="1"/>
  <c r="I139" i="2"/>
  <c r="I142" i="2" s="1"/>
  <c r="I144" i="2" s="1"/>
  <c r="H138" i="2"/>
  <c r="H139" i="2" s="1"/>
  <c r="H142" i="2" s="1"/>
  <c r="I33" i="2"/>
  <c r="I51" i="2" s="1"/>
  <c r="I184" i="2"/>
  <c r="I187" i="2" s="1"/>
  <c r="I189" i="2" s="1"/>
  <c r="H184" i="2"/>
  <c r="H187" i="2" s="1"/>
  <c r="H33" i="2"/>
  <c r="I77" i="2" l="1"/>
  <c r="I93" i="2" s="1"/>
  <c r="H77" i="2"/>
  <c r="H93" i="2" s="1"/>
  <c r="H94" i="2" l="1"/>
  <c r="H97" i="2" s="1"/>
  <c r="I94" i="2" l="1"/>
  <c r="I97" i="2" l="1"/>
  <c r="I99" i="2" l="1"/>
  <c r="G52" i="2"/>
  <c r="H49" i="2" l="1"/>
  <c r="H51" i="2" s="1"/>
  <c r="N51" i="2" l="1"/>
  <c r="I52" i="2"/>
  <c r="O49" i="2"/>
  <c r="H52" i="2" l="1"/>
  <c r="H55" i="2" s="1"/>
  <c r="I55" i="2"/>
  <c r="I57" i="2" s="1"/>
  <c r="I19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tc={B1A369A7-710E-AF46-9276-ABFAEC67FDBA}</author>
    <author>tc={E1F686F7-EE8A-3649-8E72-4D77D674F335}</author>
    <author>tc={3C988E00-ABDF-4242-8270-90382F07D175}</author>
    <author>tc={E6ADC56B-9788-FD44-B4E2-5B3E5786C090}</author>
  </authors>
  <commentList>
    <comment ref="B6" authorId="0" shapeId="0" xr:uid="{431677CE-F14F-A648-A0FE-C5A13EF54FE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mulai dari pagar bandara, flyover, kebun jati, perumahan poros sampai SMP Tsanawiyah</t>
        </r>
      </text>
    </comment>
    <comment ref="H27" authorId="1" shapeId="0" xr:uid="{B1A369A7-710E-AF46-9276-ABFAEC67FDBA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termasuk bagian belakang kantor HSE</t>
        </r>
      </text>
    </comment>
    <comment ref="G44" authorId="2" shapeId="0" xr:uid="{E1F686F7-EE8A-3649-8E72-4D77D674F335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dikurangkan bangunan dan lapangan yang ada di patepo</t>
        </r>
      </text>
    </comment>
    <comment ref="H44" authorId="3" shapeId="0" xr:uid="{3C988E00-ABDF-4242-8270-90382F07D175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dikurangkan bangunan dan lapangan yang ada di patepo</t>
        </r>
      </text>
    </comment>
    <comment ref="B54" authorId="4" shapeId="0" xr:uid="{E6ADC56B-9788-FD44-B4E2-5B3E5786C090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dihilangkan</t>
        </r>
      </text>
    </comment>
    <comment ref="G69" authorId="0" shapeId="0" xr:uid="{8368F66A-4CE0-FA4C-A106-4379AE5C95B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penyapuan dilakukan 2x  per minggu untuk masing2 jalan</t>
        </r>
      </text>
    </comment>
    <comment ref="H69" authorId="0" shapeId="0" xr:uid="{EF08B304-E572-C242-864C-77EDC1FCB05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Pembabatan dilakukan 2 x per bulan untuk masing2 jalan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188" authorId="0" shapeId="0" xr:uid="{67A5AA87-3E22-6944-A7D9-A5646D6745F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rit per hari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tc={D9A1B6AA-419F-B34D-9874-C11BC77DB5CC}</author>
    <author>tc={01B6A007-DFE6-264B-BADD-DDC2BCDB572C}</author>
    <author>tc={C248490A-6E94-6545-B43E-AA6CFE74A9ED}</author>
    <author>tc={F45D2010-07C5-E54E-9F3E-8779A55E8AE2}</author>
  </authors>
  <commentList>
    <comment ref="B6" authorId="0" shapeId="0" xr:uid="{A1108C8B-7BC6-784E-9BD0-D4BDD1101D8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mulai dari pagar bandara, flyover, kebun jati, perumahan poros sampai SMP Tsanawiyah</t>
        </r>
      </text>
    </comment>
    <comment ref="O27" authorId="1" shapeId="0" xr:uid="{D9A1B6AA-419F-B34D-9874-C11BC77DB5CC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termasuk bagian belakang kantor HSE</t>
        </r>
      </text>
    </comment>
    <comment ref="I44" authorId="2" shapeId="0" xr:uid="{01B6A007-DFE6-264B-BADD-DDC2BCDB572C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dikurangkan bangunan dan lapangan yang ada di patepo</t>
        </r>
      </text>
    </comment>
    <comment ref="O44" authorId="3" shapeId="0" xr:uid="{C248490A-6E94-6545-B43E-AA6CFE74A9ED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dikurangkan bangunan dan lapangan yang ada di patepo</t>
        </r>
      </text>
    </comment>
    <comment ref="B54" authorId="4" shapeId="0" xr:uid="{F45D2010-07C5-E54E-9F3E-8779A55E8AE2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dihilangkan</t>
        </r>
      </text>
    </comment>
    <comment ref="I69" authorId="0" shapeId="0" xr:uid="{96825E48-3FE4-9C42-BA5B-EAC94BF44A8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penyapuan dilakukan 2x  per minggu untuk masing2 jalan</t>
        </r>
      </text>
    </comment>
    <comment ref="J69" authorId="0" shapeId="0" xr:uid="{5D9854F0-7799-4B4F-89A4-865ADD04014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penyapuan dilakukan 2x  per minggu untuk masing2 jalan</t>
        </r>
      </text>
    </comment>
    <comment ref="O69" authorId="0" shapeId="0" xr:uid="{D59DF6C0-DF59-6F4C-BB55-3CED0324BBF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Pembabatan dilakukan 2 x per bulan untuk masing2 jalan</t>
        </r>
      </text>
    </comment>
    <comment ref="Q69" authorId="0" shapeId="0" xr:uid="{866B262C-AC25-6E42-93D7-6D4A8AEF793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Pembabatan dilakukan 2 x per bulan untuk masing2 jalan</t>
        </r>
      </text>
    </comment>
    <comment ref="V69" authorId="0" shapeId="0" xr:uid="{BC60A140-3EA4-E54A-A2A2-9BBE4175613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Pembabatan dilakukan 2 x per bulan untuk masing2 jalan</t>
        </r>
      </text>
    </comment>
    <comment ref="X69" authorId="0" shapeId="0" xr:uid="{29772E90-3633-2049-8621-D37549941A4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penyapuan dilakukan 2x  per minggu untuk masing2 jalan</t>
        </r>
      </text>
    </comment>
  </commentList>
</comments>
</file>

<file path=xl/sharedStrings.xml><?xml version="1.0" encoding="utf-8"?>
<sst xmlns="http://schemas.openxmlformats.org/spreadsheetml/2006/main" count="734" uniqueCount="230">
  <si>
    <t>NO</t>
  </si>
  <si>
    <t>NAMA JALAN</t>
  </si>
  <si>
    <t>LUAS (M2)</t>
  </si>
  <si>
    <t>PANJANG (M)</t>
  </si>
  <si>
    <t>LEBAR ESTIMASI (M)</t>
  </si>
  <si>
    <t xml:space="preserve">Jl. Jend. Sudirman Kumoro </t>
  </si>
  <si>
    <t>Jl. Kompas Badak ke Pabrik</t>
  </si>
  <si>
    <t xml:space="preserve">Jl. D.I Panjaitan </t>
  </si>
  <si>
    <t>Jl. Bauksit</t>
  </si>
  <si>
    <t>Jl. Pasir Besi</t>
  </si>
  <si>
    <t>Jl. Tembaga</t>
  </si>
  <si>
    <t>Jl. Perak</t>
  </si>
  <si>
    <t>Jl. Intan</t>
  </si>
  <si>
    <t>Jl. Badak</t>
  </si>
  <si>
    <t>Jl. Singa</t>
  </si>
  <si>
    <t>Jl. Batu Kapur</t>
  </si>
  <si>
    <t>Jl. Harimau I</t>
  </si>
  <si>
    <t>Jl. Teluk Mekongga</t>
  </si>
  <si>
    <t>Jl. Banteng I</t>
  </si>
  <si>
    <t>Jl. Banteng II</t>
  </si>
  <si>
    <t>Jl. Teluk Bone</t>
  </si>
  <si>
    <t>Jl. Salak</t>
  </si>
  <si>
    <t>Jl. Beruang</t>
  </si>
  <si>
    <t>Jl. Rusa</t>
  </si>
  <si>
    <t>Jl. P. Maniang</t>
  </si>
  <si>
    <t>Jl.S. Parman</t>
  </si>
  <si>
    <t>Jl. Anoa</t>
  </si>
  <si>
    <t>Jl. P. Padamarang</t>
  </si>
  <si>
    <t>Jl. Komodo</t>
  </si>
  <si>
    <t>Jl. Tg. Santigi</t>
  </si>
  <si>
    <t>Jl. Tg. Leppe</t>
  </si>
  <si>
    <t>Jl. Harimau II</t>
  </si>
  <si>
    <t>Jl. Emas</t>
  </si>
  <si>
    <t>Jl. MT.Haryono</t>
  </si>
  <si>
    <t>Jl. Langsat</t>
  </si>
  <si>
    <t>Jl. Distrik Eks 460</t>
  </si>
  <si>
    <t>Taman Kelurahan Kumoro</t>
  </si>
  <si>
    <t>Patepo</t>
  </si>
  <si>
    <t>Taman Maniang</t>
  </si>
  <si>
    <t>Taman Feni Plant</t>
  </si>
  <si>
    <t>RTH Depan Mesjid Al Ikhlas</t>
  </si>
  <si>
    <t>Plantation Jl. Rusa</t>
  </si>
  <si>
    <t>Taman MT. Haryono</t>
  </si>
  <si>
    <t>Taman Singa</t>
  </si>
  <si>
    <t>Taman Patepo (samping drainase)</t>
  </si>
  <si>
    <t>Wisma Nikel II</t>
  </si>
  <si>
    <t>Taman DI Panjaitan</t>
  </si>
  <si>
    <t xml:space="preserve">KOEFISIEN </t>
  </si>
  <si>
    <t>Jl. Rambutan (sampai taman Segitiga)</t>
  </si>
  <si>
    <t>Kantor Kelurahan Kumoro</t>
  </si>
  <si>
    <t xml:space="preserve">SMPS ANTAM </t>
  </si>
  <si>
    <t>PENYAPUAN</t>
  </si>
  <si>
    <t>PEMBABATAN</t>
  </si>
  <si>
    <t>SAPU</t>
  </si>
  <si>
    <t>BABAT</t>
  </si>
  <si>
    <t>TAMAN</t>
  </si>
  <si>
    <t>GARDENING</t>
  </si>
  <si>
    <t>X</t>
  </si>
  <si>
    <t>NO.</t>
  </si>
  <si>
    <t>URAIAN</t>
  </si>
  <si>
    <t>JUM_</t>
  </si>
  <si>
    <t>SAT_</t>
  </si>
  <si>
    <t>JUM_ HARI KERJA</t>
  </si>
  <si>
    <t>BIAYA /BLN/ (ORG / SAT)</t>
  </si>
  <si>
    <t>BIAYA / BLN</t>
  </si>
  <si>
    <t>BIAYA / THN</t>
  </si>
  <si>
    <t>KET.</t>
  </si>
  <si>
    <t>A. PENGELOLAAN LINGKUNGAN EMPLACEMEN (Pengawas &amp; Operator Babat Rumput)</t>
  </si>
  <si>
    <t>I.</t>
  </si>
  <si>
    <t>A. BIAYA PEGAWAI (PENGAWAS)</t>
  </si>
  <si>
    <t>UPAH YANG BERSIFAT TETAP :</t>
  </si>
  <si>
    <t>- Upah Pokok</t>
  </si>
  <si>
    <t>org</t>
  </si>
  <si>
    <t>75% Pasal 94 UU 13 Th. 2003</t>
  </si>
  <si>
    <t>- Tunjangan Tetap</t>
  </si>
  <si>
    <t>+</t>
  </si>
  <si>
    <t>25% Pasal 94 UU 13 Th. 2003</t>
  </si>
  <si>
    <t>(a)</t>
  </si>
  <si>
    <t>TUNJ. TIDAK TETAP/BERDASARKAN KEHADIRAN</t>
  </si>
  <si>
    <t>- Tunjangan Jabatan Pengawas</t>
  </si>
  <si>
    <t>(b)</t>
  </si>
  <si>
    <t>TUNJ. TIDAK TETAP/BERDASARKAN KEHADIRAN (NATURA)</t>
  </si>
  <si>
    <t>- Uang Makan</t>
  </si>
  <si>
    <t>(c)</t>
  </si>
  <si>
    <t>B. BIAYA PEGAWAI (OPERATOR BABAT RUMPUT &amp; PERINTIS)</t>
  </si>
  <si>
    <t>(d)</t>
  </si>
  <si>
    <t>(f)</t>
  </si>
  <si>
    <t>C.</t>
  </si>
  <si>
    <t>BPJS</t>
  </si>
  <si>
    <t>-  Jaminan Hari tua (JHT) Nilai A x 3.7%</t>
  </si>
  <si>
    <t>1% ditanggung oleh pekerja</t>
  </si>
  <si>
    <t>- Jaminan Kecelakaan kerja (JKK) Nilai A x 1.74%</t>
  </si>
  <si>
    <t>- Jaminan Pemeliharaan Kesehatan(JPK) Nilai A x 4%</t>
  </si>
  <si>
    <t>- Jaminan Kematian (JK) Nilai A x 0.3%</t>
  </si>
  <si>
    <t>- Jaminan Pensiun (JP) Nilai A x 2%</t>
  </si>
  <si>
    <t>II.</t>
  </si>
  <si>
    <t>BIAYA BAHAN, ALAT &amp; APD STANDAR (SNI)</t>
  </si>
  <si>
    <t>BAHAN &amp; APD STANDAR (SNI)</t>
  </si>
  <si>
    <t>- Kaos Tangan Katun  (4 pasang/ Bulan)</t>
  </si>
  <si>
    <t>- Jas Hujan (1 bh/thn)</t>
  </si>
  <si>
    <t>(e)</t>
  </si>
  <si>
    <t>BIAYA ALAT, BAHAN BAKAR &amp; BAHAN PEMBANTU</t>
  </si>
  <si>
    <t>unit</t>
  </si>
  <si>
    <t>- Parang</t>
  </si>
  <si>
    <t>bh</t>
  </si>
  <si>
    <t>- Sabit</t>
  </si>
  <si>
    <t>- BBM Pertalite</t>
  </si>
  <si>
    <t>liter</t>
  </si>
  <si>
    <t>(g)</t>
  </si>
  <si>
    <t>III.</t>
  </si>
  <si>
    <t>MANAGEMENT FEE ( Profit &amp; overhead)</t>
  </si>
  <si>
    <t>(h)</t>
  </si>
  <si>
    <t>IV.</t>
  </si>
  <si>
    <t>TUNJANGAN HARI RAYA 1 x Upah (Nilai (a))</t>
  </si>
  <si>
    <t>(i)</t>
  </si>
  <si>
    <t>V.</t>
  </si>
  <si>
    <t>(k)</t>
  </si>
  <si>
    <t>VI.</t>
  </si>
  <si>
    <t>Biaya Administrasi</t>
  </si>
  <si>
    <t>(j)</t>
  </si>
  <si>
    <t>TOTAL HARGA SEBULAN /  SETAHUN</t>
  </si>
  <si>
    <t>(A)</t>
  </si>
  <si>
    <t>HARGA PER METER PERSEGI SEBESAR</t>
  </si>
  <si>
    <r>
      <t>M</t>
    </r>
    <r>
      <rPr>
        <b/>
        <vertAlign val="superscript"/>
        <sz val="11"/>
        <rFont val="Arial Narrow"/>
        <family val="2"/>
      </rPr>
      <t>2</t>
    </r>
  </si>
  <si>
    <t>B. PENGELOLAAN LINGKUNGAN EMPLACEMEN (Penyapu Jalan)</t>
  </si>
  <si>
    <t>A. BIAYA PEGAWAI (PENYAPU JALAN)</t>
  </si>
  <si>
    <t>B.</t>
  </si>
  <si>
    <t>- Sapu Lidi Enau</t>
  </si>
  <si>
    <t xml:space="preserve">TOTAL HARGA </t>
  </si>
  <si>
    <t>(B)</t>
  </si>
  <si>
    <t>A. BIAYA PEGAWAI (Gardener)</t>
  </si>
  <si>
    <t>- Cangkul</t>
  </si>
  <si>
    <r>
      <rPr>
        <sz val="7"/>
        <rFont val="Arial Narrow"/>
        <family val="2"/>
      </rPr>
      <t xml:space="preserve">-  </t>
    </r>
    <r>
      <rPr>
        <sz val="11"/>
        <rFont val="Arial Narrow"/>
        <family val="2"/>
      </rPr>
      <t>Sekop</t>
    </r>
  </si>
  <si>
    <t>(C)</t>
  </si>
  <si>
    <t>I</t>
  </si>
  <si>
    <t>A. BIAYA PEGAWAI (TIM PENGANGKUT SAMPAH)</t>
  </si>
  <si>
    <t>B</t>
  </si>
  <si>
    <t>Nilai Depresiasi Alat 4 thn</t>
  </si>
  <si>
    <t>- Bak Sampah</t>
  </si>
  <si>
    <t>(D)</t>
  </si>
  <si>
    <t>Rit</t>
  </si>
  <si>
    <t>HARGA PER RIT SEBESAR</t>
  </si>
  <si>
    <t xml:space="preserve">TOTAL BIAYA  (A) + (B) + (C) + (D) = </t>
  </si>
  <si>
    <t>Diketahui oleh,</t>
  </si>
  <si>
    <t>Dibuat oleh,</t>
  </si>
  <si>
    <t>Civil and Emplacement Manager</t>
  </si>
  <si>
    <t>Emplacement Envi. Management AM.</t>
  </si>
  <si>
    <t>Luhut Adi Irawan Situmorang, S.T.,MT.</t>
  </si>
  <si>
    <t>NPP. 101390 8114</t>
  </si>
  <si>
    <t>Satuan</t>
  </si>
  <si>
    <t>HARGA SATUAN/M2</t>
  </si>
  <si>
    <t>PEKERJAAN BABAT RUMPUT &amp; PERINTISAN</t>
  </si>
  <si>
    <t>m2</t>
  </si>
  <si>
    <t>Perhitungan Harga Satuan</t>
  </si>
  <si>
    <t>PEKERJAAN SAPU JALAN</t>
  </si>
  <si>
    <t>rit</t>
  </si>
  <si>
    <t>UMK 2022</t>
  </si>
  <si>
    <t xml:space="preserve">UMK </t>
  </si>
  <si>
    <t>Tandon Air - Jl. Emas</t>
  </si>
  <si>
    <t xml:space="preserve">Tandon Air - Batu Kapur </t>
  </si>
  <si>
    <t>Kebun Jati</t>
  </si>
  <si>
    <t>Mesjid Al-Ikhlas</t>
  </si>
  <si>
    <t>Jl. Kapt. Tendean</t>
  </si>
  <si>
    <t>Taman Kumoro</t>
  </si>
  <si>
    <t>Jl. Masuk + Feni Plant</t>
  </si>
  <si>
    <t>Jl. Anoa II</t>
  </si>
  <si>
    <t>Jl. Mayjend Sutoyo (smpi ke  Kantor Kelurahan)</t>
  </si>
  <si>
    <t>TOTAL LUASAN</t>
  </si>
  <si>
    <t>Target Harian</t>
  </si>
  <si>
    <t xml:space="preserve">Kebutuhan Tenaga Kerja </t>
  </si>
  <si>
    <t>Productivitas harian/orang</t>
  </si>
  <si>
    <t>Luasan kerja selama 1 bulan</t>
  </si>
  <si>
    <t>Kepmenaker  No-KEP-150/MEN/1999</t>
  </si>
  <si>
    <t>- Karung</t>
  </si>
  <si>
    <t>*tahun 2020 dan dalam keadaan baik</t>
  </si>
  <si>
    <t>*acuan dari Kumoro</t>
  </si>
  <si>
    <t>NPP. 3009857317</t>
  </si>
  <si>
    <t>Luasan kerja dalam 6 bulan</t>
  </si>
  <si>
    <t>PPN 11%</t>
  </si>
  <si>
    <t>ANALISA BIAYA HARGA SATUAN</t>
  </si>
  <si>
    <t>- Karung sampah</t>
  </si>
  <si>
    <t>Evi Sabrina S,T.</t>
  </si>
  <si>
    <t>TOTAL Biaya setelah PPN 11%</t>
  </si>
  <si>
    <t>TOTAL Biaya Sebelum PPN 11%</t>
  </si>
  <si>
    <t>Pomalaa,  06 Juni 2022</t>
  </si>
  <si>
    <t>Mes Uti</t>
  </si>
  <si>
    <t>LEBAR 
BAHU JALAN  (M)</t>
  </si>
  <si>
    <t>Taman Kembar Anoa-Santigi</t>
  </si>
  <si>
    <t>Jl. Badak II</t>
  </si>
  <si>
    <t>Jl.  Gedung Merah</t>
  </si>
  <si>
    <t>RTH Rumah Trafo Mesjid Al Ikhlas + Lapangan</t>
  </si>
  <si>
    <t>Pura</t>
  </si>
  <si>
    <t>BIAYA / 12 BULAN</t>
  </si>
  <si>
    <t>- Safety Shoes (1 pasang / tahun)</t>
  </si>
  <si>
    <t>- Pakaian Kerja (1 pasang / tahun)</t>
  </si>
  <si>
    <t>- Safety Helmet berwarna biru muda (1 pc / tahun)</t>
  </si>
  <si>
    <t xml:space="preserve">- Mesin Babat Gendong </t>
  </si>
  <si>
    <t>JUMLAH BIAYA PEGAWAI + BAHAN, ALAT &amp; APD  ((a)+(b)+(c)+(d)+(e)+(f)+(g))</t>
  </si>
  <si>
    <t>VOLUME PEKERJAAN LINGKUNGAN EMPLASEMEN 12 BULAN (Penyapu Jalan)</t>
  </si>
  <si>
    <t>VOLUME PEKERJAAN LINGKUNGAN EMPLASEMEN 12 BULAN (Pengawas &amp; Operator Babat Rumput)</t>
  </si>
  <si>
    <t xml:space="preserve">TOTAL HARGA SEBULAN </t>
  </si>
  <si>
    <t>TOTAL HARGA SEBULAN</t>
  </si>
  <si>
    <t>JUMLAH BIAYA PEGAWAI + BAHAN, ALAT &amp; APD  ((a)+(b)+(c)+(d)+(e))</t>
  </si>
  <si>
    <t>C. PENGELOLAAN LINGKUNGAN EMPLACEMEN (Gardening)</t>
  </si>
  <si>
    <t>Nilai Depresiasi Alat 2 tahun + spareparts</t>
  </si>
  <si>
    <t>VOLUME PEKERJAAN LINGKUNGAN EMPLASEMEN 12 BULAN (Gardening)</t>
  </si>
  <si>
    <t>D. PENGANGKUTAN SAMPAH</t>
  </si>
  <si>
    <t>Biaya Dumptruck</t>
  </si>
  <si>
    <t>Bak sampah</t>
  </si>
  <si>
    <t>Oli</t>
  </si>
  <si>
    <t>Sparepart</t>
  </si>
  <si>
    <t xml:space="preserve">Pajak Kendaraan </t>
  </si>
  <si>
    <t xml:space="preserve">BBM </t>
  </si>
  <si>
    <t>Sewa truck arm roll</t>
  </si>
  <si>
    <t>- Dump Truk arm Roll khusus sampah  (Min. tahun 2019)</t>
  </si>
  <si>
    <t>-25% untuk biaya penyusutan 4 tahun</t>
  </si>
  <si>
    <t>Biaya Sewa Kendaraan, BBM, Oli, Sparepart dan Pajak Kendaraan</t>
  </si>
  <si>
    <t>VOLUME PEKERJAAN PENGANGKUTAN SAMPAH 12 BULAN</t>
  </si>
  <si>
    <t>BIAYA/1 TAHUN</t>
  </si>
  <si>
    <t>BIAYA/ 2 TAHUN</t>
  </si>
  <si>
    <t xml:space="preserve">PENGADAAN JASA  PEKERJAAN PEMBERSIHAN dan PEMELIHARAAN </t>
  </si>
  <si>
    <t>LINGKUNGAN EMPLASEMEN WILAYAH KELURAHAN KUMORO SELAMA 2 TAHUN</t>
  </si>
  <si>
    <t>JASA PEKERJAAN PEMBERSIHAN &amp; PEMELIHARAAN LINGKUNGAN KUMORO SELAMA 1 TAHUN</t>
  </si>
  <si>
    <t>PENGUTIPAN &amp; PENGANGKUTAN SAMPAH DENGAN MOBIL PICK UP</t>
  </si>
  <si>
    <t>PENGUTIPAN &amp; PENGANGKUTAN SAMPAH DENGAN MOTOR SAMPAH</t>
  </si>
  <si>
    <t>BILL OF QUANTITY (BOQ)</t>
  </si>
  <si>
    <t>KETERANGAN</t>
  </si>
  <si>
    <t>NAMA PEKERJAAN</t>
  </si>
  <si>
    <t>VOLUME MAKS./BULAN</t>
  </si>
  <si>
    <t>BIAYA/PERBULAN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</si>
</sst>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_([$Rp-421]* #,##0.00_);_([$Rp-421]* \(#,##0.00\);_([$Rp-421]* &quot;-&quot;_);_(@_)"/>
    <numFmt numFmtId="167" formatCode="_(* #,##0.00_);_(* \(#,##0.00\);_(* &quot;-&quot;_);_(@_)"/>
    <numFmt numFmtId="168" formatCode="_([$Rp-421]* #,##0.00_);_([$Rp-421]* \(#,##0.00\);_([$Rp-421]* &quot;-&quot;??_);_(@_)"/>
    <numFmt numFmtId="169" formatCode="_([$Rp-421]* #,##0_);_([$Rp-421]* \(#,##0\);_([$Rp-421]* &quot;-&quot;_);_(@_)"/>
    <numFmt numFmtId="170" formatCode="_(* #,##0.000_);_(* \(#,##0.000\);_(* &quot;-&quot;_);_(@_)"/>
    <numFmt numFmtId="171" formatCode="_-[$Rp-421]* #,##0.00_-;\-[$Rp-421]* #,##0.00_-;_-[$Rp-421]* &quot;-&quot;??_-;_-@_-"/>
    <numFmt numFmtId="172" formatCode="_([$Rp-421]* #,##0_);_([$Rp-421]* \(#,##0\);_([$Rp-421]* &quot;-&quot;??_);_(@_)"/>
  </numFmts>
  <fonts count="32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b/>
      <vertAlign val="superscript"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b/>
      <u/>
      <sz val="1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b/>
      <u/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1"/>
      <color indexed="8"/>
      <name val="Calibri"/>
      <family val="2"/>
    </font>
    <font>
      <b/>
      <u/>
      <sz val="11"/>
      <color rgb="FF000000"/>
      <name val="Bookman Old Style"/>
      <family val="1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0" fillId="6" borderId="1" xfId="0" applyFill="1" applyBorder="1"/>
    <xf numFmtId="0" fontId="0" fillId="6" borderId="1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7" fillId="0" borderId="19" xfId="0" quotePrefix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21" xfId="0" quotePrefix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0" xfId="0" quotePrefix="1" applyFont="1" applyAlignment="1">
      <alignment vertical="center"/>
    </xf>
    <xf numFmtId="0" fontId="6" fillId="0" borderId="20" xfId="0" quotePrefix="1" applyFont="1" applyBorder="1" applyAlignment="1">
      <alignment horizontal="right" vertical="center"/>
    </xf>
    <xf numFmtId="0" fontId="7" fillId="0" borderId="2" xfId="0" quotePrefix="1" applyFont="1" applyBorder="1" applyAlignment="1">
      <alignment vertical="center"/>
    </xf>
    <xf numFmtId="0" fontId="7" fillId="0" borderId="23" xfId="0" quotePrefix="1" applyFont="1" applyBorder="1" applyAlignment="1">
      <alignment vertical="center"/>
    </xf>
    <xf numFmtId="1" fontId="6" fillId="0" borderId="20" xfId="0" applyNumberFormat="1" applyFont="1" applyBorder="1" applyAlignment="1">
      <alignment horizontal="right" vertical="center"/>
    </xf>
    <xf numFmtId="0" fontId="6" fillId="0" borderId="19" xfId="0" quotePrefix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quotePrefix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" xfId="0" quotePrefix="1" applyFont="1" applyBorder="1" applyAlignment="1">
      <alignment vertical="center"/>
    </xf>
    <xf numFmtId="0" fontId="7" fillId="0" borderId="0" xfId="0" quotePrefix="1" applyFont="1" applyAlignment="1">
      <alignment horizontal="justify"/>
    </xf>
    <xf numFmtId="0" fontId="7" fillId="0" borderId="4" xfId="0" applyFont="1" applyBorder="1" applyAlignment="1">
      <alignment horizontal="center"/>
    </xf>
    <xf numFmtId="0" fontId="7" fillId="0" borderId="23" xfId="0" quotePrefix="1" applyFont="1" applyBorder="1" applyAlignment="1">
      <alignment horizontal="justify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26" xfId="0" quotePrefix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7" fillId="7" borderId="32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7" fillId="7" borderId="30" xfId="0" applyNumberFormat="1" applyFont="1" applyFill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30" xfId="0" quotePrefix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7" fillId="0" borderId="23" xfId="0" applyFont="1" applyBorder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3" fontId="7" fillId="0" borderId="30" xfId="0" applyNumberFormat="1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64" fontId="14" fillId="0" borderId="0" xfId="0" applyNumberFormat="1" applyFont="1"/>
    <xf numFmtId="0" fontId="14" fillId="0" borderId="0" xfId="0" applyFont="1" applyAlignment="1">
      <alignment horizontal="left" indent="12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6" fontId="23" fillId="0" borderId="1" xfId="0" applyNumberFormat="1" applyFont="1" applyBorder="1" applyAlignment="1">
      <alignment vertical="center"/>
    </xf>
    <xf numFmtId="168" fontId="23" fillId="0" borderId="0" xfId="0" applyNumberFormat="1" applyFont="1"/>
    <xf numFmtId="164" fontId="23" fillId="0" borderId="0" xfId="3" applyFont="1" applyFill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164" fontId="0" fillId="0" borderId="0" xfId="2" applyFont="1"/>
    <xf numFmtId="164" fontId="0" fillId="0" borderId="0" xfId="0" applyNumberFormat="1"/>
    <xf numFmtId="164" fontId="0" fillId="8" borderId="0" xfId="0" applyNumberFormat="1" applyFill="1"/>
    <xf numFmtId="0" fontId="0" fillId="0" borderId="0" xfId="0" quotePrefix="1"/>
    <xf numFmtId="0" fontId="4" fillId="5" borderId="1" xfId="0" applyFont="1" applyFill="1" applyBorder="1"/>
    <xf numFmtId="164" fontId="0" fillId="0" borderId="1" xfId="2" applyFont="1" applyFill="1" applyBorder="1"/>
    <xf numFmtId="164" fontId="0" fillId="0" borderId="1" xfId="0" applyNumberFormat="1" applyBorder="1"/>
    <xf numFmtId="0" fontId="0" fillId="0" borderId="36" xfId="0" applyBorder="1" applyAlignment="1">
      <alignment horizontal="right" vertical="center"/>
    </xf>
    <xf numFmtId="170" fontId="0" fillId="0" borderId="1" xfId="0" applyNumberFormat="1" applyBorder="1"/>
    <xf numFmtId="3" fontId="7" fillId="0" borderId="22" xfId="0" quotePrefix="1" applyNumberFormat="1" applyFont="1" applyBorder="1" applyAlignment="1">
      <alignment vertical="center"/>
    </xf>
    <xf numFmtId="0" fontId="7" fillId="9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1" fontId="0" fillId="0" borderId="0" xfId="0" applyNumberFormat="1"/>
    <xf numFmtId="9" fontId="0" fillId="5" borderId="1" xfId="4" applyFont="1" applyFill="1" applyBorder="1"/>
    <xf numFmtId="9" fontId="0" fillId="5" borderId="1" xfId="4" applyFont="1" applyFill="1" applyBorder="1" applyAlignment="1">
      <alignment vertical="center"/>
    </xf>
    <xf numFmtId="9" fontId="0" fillId="0" borderId="1" xfId="4" applyFont="1" applyFill="1" applyBorder="1"/>
    <xf numFmtId="9" fontId="0" fillId="0" borderId="0" xfId="4" applyFont="1"/>
    <xf numFmtId="167" fontId="0" fillId="4" borderId="1" xfId="2" applyNumberFormat="1" applyFont="1" applyFill="1" applyBorder="1"/>
    <xf numFmtId="167" fontId="0" fillId="0" borderId="1" xfId="2" applyNumberFormat="1" applyFont="1" applyFill="1" applyBorder="1"/>
    <xf numFmtId="167" fontId="0" fillId="0" borderId="0" xfId="2" applyNumberFormat="1" applyFont="1"/>
    <xf numFmtId="167" fontId="0" fillId="5" borderId="1" xfId="2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right"/>
    </xf>
    <xf numFmtId="167" fontId="0" fillId="5" borderId="1" xfId="2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vertical="center"/>
    </xf>
    <xf numFmtId="167" fontId="0" fillId="4" borderId="1" xfId="2" applyNumberFormat="1" applyFont="1" applyFill="1" applyBorder="1" applyAlignment="1">
      <alignment vertical="center"/>
    </xf>
    <xf numFmtId="167" fontId="0" fillId="5" borderId="1" xfId="2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64" fontId="0" fillId="6" borderId="1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164" fontId="0" fillId="3" borderId="1" xfId="2" applyFont="1" applyFill="1" applyBorder="1"/>
    <xf numFmtId="164" fontId="0" fillId="3" borderId="1" xfId="0" applyNumberFormat="1" applyFill="1" applyBorder="1"/>
    <xf numFmtId="164" fontId="0" fillId="3" borderId="0" xfId="0" applyNumberFormat="1" applyFill="1"/>
    <xf numFmtId="0" fontId="4" fillId="3" borderId="1" xfId="0" applyFont="1" applyFill="1" applyBorder="1"/>
    <xf numFmtId="170" fontId="0" fillId="3" borderId="1" xfId="0" applyNumberFormat="1" applyFill="1" applyBorder="1"/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right"/>
    </xf>
    <xf numFmtId="167" fontId="31" fillId="4" borderId="1" xfId="2" applyNumberFormat="1" applyFont="1" applyFill="1" applyBorder="1"/>
    <xf numFmtId="167" fontId="31" fillId="5" borderId="1" xfId="2" applyNumberFormat="1" applyFont="1" applyFill="1" applyBorder="1"/>
    <xf numFmtId="0" fontId="30" fillId="2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6" fillId="11" borderId="16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 wrapText="1"/>
    </xf>
    <xf numFmtId="3" fontId="6" fillId="11" borderId="16" xfId="0" applyNumberFormat="1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12" borderId="16" xfId="0" applyFont="1" applyFill="1" applyBorder="1" applyAlignment="1">
      <alignment horizontal="left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 wrapText="1"/>
    </xf>
    <xf numFmtId="3" fontId="6" fillId="12" borderId="16" xfId="0" applyNumberFormat="1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/>
    </xf>
    <xf numFmtId="164" fontId="0" fillId="12" borderId="0" xfId="2" applyFont="1" applyFill="1"/>
    <xf numFmtId="0" fontId="0" fillId="0" borderId="23" xfId="0" applyBorder="1"/>
    <xf numFmtId="164" fontId="0" fillId="0" borderId="23" xfId="2" applyFont="1" applyBorder="1"/>
    <xf numFmtId="0" fontId="0" fillId="0" borderId="23" xfId="0" quotePrefix="1" applyBorder="1"/>
    <xf numFmtId="0" fontId="6" fillId="10" borderId="16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" fontId="6" fillId="10" borderId="16" xfId="0" applyNumberFormat="1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/>
    </xf>
    <xf numFmtId="165" fontId="11" fillId="10" borderId="30" xfId="1" applyFont="1" applyFill="1" applyBorder="1" applyAlignment="1">
      <alignment vertical="center"/>
    </xf>
    <xf numFmtId="166" fontId="11" fillId="12" borderId="30" xfId="0" applyNumberFormat="1" applyFont="1" applyFill="1" applyBorder="1" applyAlignment="1">
      <alignment vertical="center"/>
    </xf>
    <xf numFmtId="166" fontId="11" fillId="3" borderId="30" xfId="0" applyNumberFormat="1" applyFont="1" applyFill="1" applyBorder="1" applyAlignment="1">
      <alignment vertical="center"/>
    </xf>
    <xf numFmtId="166" fontId="11" fillId="11" borderId="30" xfId="0" applyNumberFormat="1" applyFont="1" applyFill="1" applyBorder="1" applyAlignment="1">
      <alignment vertical="center"/>
    </xf>
    <xf numFmtId="169" fontId="11" fillId="0" borderId="30" xfId="0" applyNumberFormat="1" applyFont="1" applyBorder="1" applyAlignment="1">
      <alignment vertical="center"/>
    </xf>
    <xf numFmtId="172" fontId="24" fillId="0" borderId="1" xfId="0" applyNumberFormat="1" applyFont="1" applyBorder="1" applyAlignment="1">
      <alignment vertical="center"/>
    </xf>
    <xf numFmtId="172" fontId="23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vertical="center"/>
    </xf>
    <xf numFmtId="0" fontId="24" fillId="13" borderId="1" xfId="0" applyFont="1" applyFill="1" applyBorder="1" applyAlignment="1">
      <alignment horizontal="center" vertical="center" wrapText="1"/>
    </xf>
    <xf numFmtId="167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45"/>
    </xf>
    <xf numFmtId="0" fontId="5" fillId="6" borderId="1" xfId="0" applyFont="1" applyFill="1" applyBorder="1" applyAlignment="1">
      <alignment horizontal="center" vertical="center" textRotation="45" wrapText="1"/>
    </xf>
    <xf numFmtId="0" fontId="5" fillId="0" borderId="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67" fontId="5" fillId="4" borderId="1" xfId="2" applyNumberFormat="1" applyFont="1" applyFill="1" applyBorder="1" applyAlignment="1">
      <alignment horizontal="center" vertical="center"/>
    </xf>
    <xf numFmtId="167" fontId="5" fillId="5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45"/>
    </xf>
    <xf numFmtId="0" fontId="5" fillId="4" borderId="4" xfId="0" applyFont="1" applyFill="1" applyBorder="1" applyAlignment="1">
      <alignment horizontal="center" vertical="center" textRotation="45"/>
    </xf>
    <xf numFmtId="0" fontId="5" fillId="4" borderId="5" xfId="0" applyFont="1" applyFill="1" applyBorder="1" applyAlignment="1">
      <alignment horizontal="center" vertical="center" textRotation="45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167" fontId="5" fillId="5" borderId="3" xfId="2" applyNumberFormat="1" applyFont="1" applyFill="1" applyBorder="1" applyAlignment="1">
      <alignment horizontal="center" vertical="center"/>
    </xf>
    <xf numFmtId="167" fontId="5" fillId="5" borderId="5" xfId="2" applyNumberFormat="1" applyFont="1" applyFill="1" applyBorder="1" applyAlignment="1">
      <alignment horizontal="center" vertical="center"/>
    </xf>
    <xf numFmtId="9" fontId="5" fillId="5" borderId="3" xfId="4" applyFont="1" applyFill="1" applyBorder="1" applyAlignment="1">
      <alignment horizontal="center" vertical="center" wrapText="1"/>
    </xf>
    <xf numFmtId="9" fontId="5" fillId="5" borderId="5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[0] 2" xfId="3" xr:uid="{83805A37-34C9-7149-96E5-133394478998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152</xdr:row>
      <xdr:rowOff>0</xdr:rowOff>
    </xdr:from>
    <xdr:to>
      <xdr:col>5</xdr:col>
      <xdr:colOff>0</xdr:colOff>
      <xdr:row>152</xdr:row>
      <xdr:rowOff>139700</xdr:rowOff>
    </xdr:to>
    <xdr:pic>
      <xdr:nvPicPr>
        <xdr:cNvPr id="2" name="Picture 1" descr="Antam Logo (2) (5)">
          <a:extLst>
            <a:ext uri="{FF2B5EF4-FFF2-40B4-BE49-F238E27FC236}">
              <a16:creationId xmlns:a16="http://schemas.microsoft.com/office/drawing/2014/main" id="{2CF865D1-D292-A648-9919-5EDC3675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32880300"/>
          <a:ext cx="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152</xdr:row>
      <xdr:rowOff>0</xdr:rowOff>
    </xdr:from>
    <xdr:to>
      <xdr:col>5</xdr:col>
      <xdr:colOff>0</xdr:colOff>
      <xdr:row>152</xdr:row>
      <xdr:rowOff>139700</xdr:rowOff>
    </xdr:to>
    <xdr:pic>
      <xdr:nvPicPr>
        <xdr:cNvPr id="3" name="Picture 1" descr="Antam Logo (2) (5)">
          <a:extLst>
            <a:ext uri="{FF2B5EF4-FFF2-40B4-BE49-F238E27FC236}">
              <a16:creationId xmlns:a16="http://schemas.microsoft.com/office/drawing/2014/main" id="{D9B1329A-677B-FF4B-BC63-8D6DE822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32880300"/>
          <a:ext cx="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vi Sabrina" id="{49F8F441-0C16-9F46-A649-3F0AED7DED13}" userId="S::evi.sabrina@antam.com::ee8270c1-d457-459f-bc28-75d70f3b93a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7" dT="2022-07-07T01:47:32.81" personId="{49F8F441-0C16-9F46-A649-3F0AED7DED13}" id="{B1A369A7-710E-AF46-9276-ABFAEC67FDBA}">
    <text>termasuk bagian belakang kantor HSE</text>
  </threadedComment>
  <threadedComment ref="G44" dT="2022-07-06T07:45:36.40" personId="{49F8F441-0C16-9F46-A649-3F0AED7DED13}" id="{E1F686F7-EE8A-3649-8E72-4D77D674F335}">
    <text>dikurangkan bangunan dan lapangan yang ada di patepo</text>
  </threadedComment>
  <threadedComment ref="H44" dT="2022-07-06T07:45:36.40" personId="{49F8F441-0C16-9F46-A649-3F0AED7DED13}" id="{3C988E00-ABDF-4242-8270-90382F07D175}">
    <text>dikurangkan bangunan dan lapangan yang ada di patepo</text>
  </threadedComment>
  <threadedComment ref="B54" dT="2022-07-05T21:36:21.53" personId="{49F8F441-0C16-9F46-A649-3F0AED7DED13}" id="{E6ADC56B-9788-FD44-B4E2-5B3E5786C090}">
    <text>dihilangkan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O27" dT="2022-07-07T01:47:32.81" personId="{49F8F441-0C16-9F46-A649-3F0AED7DED13}" id="{D9A1B6AA-419F-B34D-9874-C11BC77DB5CC}">
    <text>termasuk bagian belakang kantor HSE</text>
  </threadedComment>
  <threadedComment ref="I44" dT="2022-07-06T07:45:36.40" personId="{49F8F441-0C16-9F46-A649-3F0AED7DED13}" id="{01B6A007-DFE6-264B-BADD-DDC2BCDB572C}">
    <text>dikurangkan bangunan dan lapangan yang ada di patepo</text>
  </threadedComment>
  <threadedComment ref="O44" dT="2022-07-06T07:45:36.40" personId="{49F8F441-0C16-9F46-A649-3F0AED7DED13}" id="{C248490A-6E94-6545-B43E-AA6CFE74A9ED}">
    <text>dikurangkan bangunan dan lapangan yang ada di patepo</text>
  </threadedComment>
  <threadedComment ref="B54" dT="2022-07-05T21:36:21.53" personId="{49F8F441-0C16-9F46-A649-3F0AED7DED13}" id="{F45D2010-07C5-E54E-9F3E-8779A55E8AE2}">
    <text>dihilangkan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1AE1-46B2-C44F-B49A-CDDF3FE8D6FA}">
  <dimension ref="A3:L80"/>
  <sheetViews>
    <sheetView zoomScale="117" zoomScaleNormal="117" zoomScaleSheetLayoutView="83" workbookViewId="0">
      <pane xSplit="5" ySplit="5" topLeftCell="F57" activePane="bottomRight" state="frozen"/>
      <selection pane="topRight" activeCell="F1" sqref="F1"/>
      <selection pane="bottomLeft" activeCell="A6" sqref="A6"/>
      <selection pane="bottomRight" activeCell="K69" sqref="K69:K82"/>
    </sheetView>
  </sheetViews>
  <sheetFormatPr defaultColWidth="10.625" defaultRowHeight="15.75" x14ac:dyDescent="0.25"/>
  <cols>
    <col min="1" max="1" width="3.875" style="1" bestFit="1" customWidth="1"/>
    <col min="2" max="2" width="44.125" style="5" customWidth="1"/>
    <col min="3" max="4" width="7.5" style="12" customWidth="1"/>
    <col min="5" max="5" width="8" style="12" customWidth="1"/>
    <col min="6" max="6" width="0.875" customWidth="1"/>
    <col min="7" max="7" width="14.5" style="125" customWidth="1"/>
    <col min="8" max="8" width="16.5" style="125" customWidth="1"/>
    <col min="9" max="9" width="13.125" customWidth="1"/>
    <col min="10" max="10" width="6.375" customWidth="1"/>
  </cols>
  <sheetData>
    <row r="3" spans="1:9" s="12" customFormat="1" ht="21.95" customHeight="1" x14ac:dyDescent="0.25">
      <c r="A3" s="214" t="s">
        <v>0</v>
      </c>
      <c r="B3" s="215" t="s">
        <v>1</v>
      </c>
      <c r="C3" s="216" t="s">
        <v>53</v>
      </c>
      <c r="D3" s="208" t="s">
        <v>54</v>
      </c>
      <c r="E3" s="209" t="s">
        <v>55</v>
      </c>
      <c r="F3" s="210"/>
      <c r="G3" s="161" t="s">
        <v>51</v>
      </c>
      <c r="H3" s="162" t="s">
        <v>52</v>
      </c>
      <c r="I3" s="144" t="s">
        <v>56</v>
      </c>
    </row>
    <row r="4" spans="1:9" s="12" customFormat="1" x14ac:dyDescent="0.25">
      <c r="A4" s="214"/>
      <c r="B4" s="215"/>
      <c r="C4" s="217"/>
      <c r="D4" s="208"/>
      <c r="E4" s="209"/>
      <c r="F4" s="210"/>
      <c r="G4" s="212" t="s">
        <v>2</v>
      </c>
      <c r="H4" s="213" t="s">
        <v>2</v>
      </c>
      <c r="I4" s="207" t="s">
        <v>2</v>
      </c>
    </row>
    <row r="5" spans="1:9" s="13" customFormat="1" x14ac:dyDescent="0.25">
      <c r="A5" s="214"/>
      <c r="B5" s="215"/>
      <c r="C5" s="218"/>
      <c r="D5" s="208"/>
      <c r="E5" s="209"/>
      <c r="F5" s="210"/>
      <c r="G5" s="212"/>
      <c r="H5" s="213"/>
      <c r="I5" s="207"/>
    </row>
    <row r="6" spans="1:9" ht="24" customHeight="1" x14ac:dyDescent="0.25">
      <c r="A6" s="3">
        <v>1</v>
      </c>
      <c r="B6" s="103" t="s">
        <v>5</v>
      </c>
      <c r="C6" s="135" t="s">
        <v>57</v>
      </c>
      <c r="D6" s="139" t="s">
        <v>57</v>
      </c>
      <c r="E6" s="140"/>
      <c r="F6" s="2"/>
      <c r="G6" s="123">
        <v>3906.68</v>
      </c>
      <c r="H6" s="126">
        <v>21139.73</v>
      </c>
      <c r="I6" s="10"/>
    </row>
    <row r="7" spans="1:9" ht="24" customHeight="1" x14ac:dyDescent="0.25">
      <c r="A7" s="3">
        <v>2</v>
      </c>
      <c r="B7" s="103" t="s">
        <v>164</v>
      </c>
      <c r="C7" s="135" t="s">
        <v>57</v>
      </c>
      <c r="D7" s="139"/>
      <c r="E7" s="140"/>
      <c r="F7" s="2"/>
      <c r="G7" s="123">
        <v>2572.25</v>
      </c>
      <c r="H7" s="126">
        <v>0</v>
      </c>
      <c r="I7" s="10"/>
    </row>
    <row r="8" spans="1:9" ht="24" customHeight="1" x14ac:dyDescent="0.25">
      <c r="A8" s="3">
        <v>3</v>
      </c>
      <c r="B8" s="103" t="s">
        <v>6</v>
      </c>
      <c r="C8" s="135" t="s">
        <v>57</v>
      </c>
      <c r="D8" s="139" t="s">
        <v>57</v>
      </c>
      <c r="E8" s="140"/>
      <c r="F8" s="2"/>
      <c r="G8" s="123">
        <v>2791.67</v>
      </c>
      <c r="H8" s="126">
        <v>1595.24</v>
      </c>
      <c r="I8" s="10"/>
    </row>
    <row r="9" spans="1:9" ht="24" customHeight="1" x14ac:dyDescent="0.25">
      <c r="A9" s="3">
        <v>4</v>
      </c>
      <c r="B9" s="103" t="s">
        <v>7</v>
      </c>
      <c r="C9" s="135" t="s">
        <v>57</v>
      </c>
      <c r="D9" s="139" t="s">
        <v>57</v>
      </c>
      <c r="E9" s="140"/>
      <c r="F9" s="2"/>
      <c r="G9" s="123">
        <v>3380.79</v>
      </c>
      <c r="H9" s="126">
        <v>2157.29</v>
      </c>
      <c r="I9" s="10"/>
    </row>
    <row r="10" spans="1:9" ht="24" customHeight="1" x14ac:dyDescent="0.25">
      <c r="A10" s="3">
        <v>5</v>
      </c>
      <c r="B10" s="103" t="s">
        <v>25</v>
      </c>
      <c r="C10" s="135" t="s">
        <v>57</v>
      </c>
      <c r="D10" s="139" t="s">
        <v>57</v>
      </c>
      <c r="E10" s="140"/>
      <c r="F10" s="2"/>
      <c r="G10" s="123">
        <v>4272.17</v>
      </c>
      <c r="H10" s="126">
        <v>2441.2399999999998</v>
      </c>
      <c r="I10" s="10"/>
    </row>
    <row r="11" spans="1:9" ht="24" customHeight="1" x14ac:dyDescent="0.25">
      <c r="A11" s="3">
        <v>6</v>
      </c>
      <c r="B11" s="103" t="s">
        <v>23</v>
      </c>
      <c r="C11" s="135" t="s">
        <v>57</v>
      </c>
      <c r="D11" s="139" t="s">
        <v>57</v>
      </c>
      <c r="E11" s="140"/>
      <c r="F11" s="2"/>
      <c r="G11" s="123">
        <v>1909.67</v>
      </c>
      <c r="H11" s="126">
        <v>1487.6387500000001</v>
      </c>
      <c r="I11" s="10"/>
    </row>
    <row r="12" spans="1:9" ht="24" customHeight="1" x14ac:dyDescent="0.25">
      <c r="A12" s="3">
        <v>7</v>
      </c>
      <c r="B12" s="103" t="s">
        <v>24</v>
      </c>
      <c r="C12" s="135" t="s">
        <v>57</v>
      </c>
      <c r="D12" s="139" t="s">
        <v>57</v>
      </c>
      <c r="E12" s="140"/>
      <c r="F12" s="2"/>
      <c r="G12" s="123">
        <v>1900.7800000000002</v>
      </c>
      <c r="H12" s="126">
        <v>3211.2299999999996</v>
      </c>
      <c r="I12" s="10"/>
    </row>
    <row r="13" spans="1:9" ht="24" customHeight="1" x14ac:dyDescent="0.25">
      <c r="A13" s="3">
        <v>8</v>
      </c>
      <c r="B13" s="103" t="s">
        <v>26</v>
      </c>
      <c r="C13" s="135" t="s">
        <v>57</v>
      </c>
      <c r="D13" s="139" t="s">
        <v>57</v>
      </c>
      <c r="E13" s="140"/>
      <c r="F13" s="2"/>
      <c r="G13" s="123">
        <v>1831.83</v>
      </c>
      <c r="H13" s="126">
        <v>2355.21</v>
      </c>
      <c r="I13" s="10"/>
    </row>
    <row r="14" spans="1:9" ht="24" customHeight="1" x14ac:dyDescent="0.25">
      <c r="A14" s="3">
        <v>9</v>
      </c>
      <c r="B14" s="103" t="s">
        <v>165</v>
      </c>
      <c r="C14" s="135" t="s">
        <v>57</v>
      </c>
      <c r="D14" s="139"/>
      <c r="E14" s="140"/>
      <c r="F14" s="2"/>
      <c r="G14" s="123">
        <v>407.89000000000004</v>
      </c>
      <c r="H14" s="126">
        <v>0</v>
      </c>
      <c r="I14" s="10"/>
    </row>
    <row r="15" spans="1:9" ht="24" customHeight="1" x14ac:dyDescent="0.25">
      <c r="A15" s="3">
        <v>10</v>
      </c>
      <c r="B15" s="103" t="s">
        <v>27</v>
      </c>
      <c r="C15" s="135" t="s">
        <v>57</v>
      </c>
      <c r="D15" s="139" t="s">
        <v>57</v>
      </c>
      <c r="E15" s="140"/>
      <c r="F15" s="2"/>
      <c r="G15" s="123">
        <v>1914.99</v>
      </c>
      <c r="H15" s="126">
        <v>3282.84</v>
      </c>
      <c r="I15" s="10"/>
    </row>
    <row r="16" spans="1:9" ht="24" customHeight="1" x14ac:dyDescent="0.25">
      <c r="A16" s="3">
        <v>11</v>
      </c>
      <c r="B16" s="103" t="s">
        <v>28</v>
      </c>
      <c r="C16" s="135" t="s">
        <v>57</v>
      </c>
      <c r="D16" s="139" t="s">
        <v>57</v>
      </c>
      <c r="E16" s="140"/>
      <c r="F16" s="2"/>
      <c r="G16" s="123">
        <v>1830.2900000000002</v>
      </c>
      <c r="H16" s="126">
        <v>3033.0520000000006</v>
      </c>
      <c r="I16" s="10"/>
    </row>
    <row r="17" spans="1:9" ht="24" customHeight="1" x14ac:dyDescent="0.25">
      <c r="A17" s="3">
        <v>12</v>
      </c>
      <c r="B17" s="103" t="s">
        <v>29</v>
      </c>
      <c r="C17" s="135" t="s">
        <v>57</v>
      </c>
      <c r="D17" s="139" t="s">
        <v>57</v>
      </c>
      <c r="E17" s="140"/>
      <c r="F17" s="2"/>
      <c r="G17" s="123">
        <v>1923.32</v>
      </c>
      <c r="H17" s="126">
        <v>2967.4079999999999</v>
      </c>
      <c r="I17" s="10"/>
    </row>
    <row r="18" spans="1:9" ht="24" customHeight="1" x14ac:dyDescent="0.25">
      <c r="A18" s="3">
        <v>13</v>
      </c>
      <c r="B18" s="103" t="s">
        <v>22</v>
      </c>
      <c r="C18" s="135" t="s">
        <v>57</v>
      </c>
      <c r="D18" s="139" t="s">
        <v>57</v>
      </c>
      <c r="E18" s="140"/>
      <c r="F18" s="2"/>
      <c r="G18" s="123">
        <v>1848.2099999999998</v>
      </c>
      <c r="H18" s="126">
        <v>4013.2559999999999</v>
      </c>
      <c r="I18" s="10"/>
    </row>
    <row r="19" spans="1:9" ht="24" customHeight="1" x14ac:dyDescent="0.25">
      <c r="A19" s="3">
        <v>14</v>
      </c>
      <c r="B19" s="103" t="s">
        <v>30</v>
      </c>
      <c r="C19" s="135" t="s">
        <v>57</v>
      </c>
      <c r="D19" s="139" t="s">
        <v>57</v>
      </c>
      <c r="E19" s="140"/>
      <c r="F19" s="2"/>
      <c r="G19" s="123">
        <v>1991.01</v>
      </c>
      <c r="H19" s="126">
        <v>4443.9343200000003</v>
      </c>
      <c r="I19" s="10"/>
    </row>
    <row r="20" spans="1:9" ht="24" customHeight="1" x14ac:dyDescent="0.25">
      <c r="A20" s="3">
        <v>15</v>
      </c>
      <c r="B20" s="103" t="s">
        <v>18</v>
      </c>
      <c r="C20" s="135" t="s">
        <v>57</v>
      </c>
      <c r="D20" s="139" t="s">
        <v>57</v>
      </c>
      <c r="E20" s="140"/>
      <c r="F20" s="2"/>
      <c r="G20" s="123">
        <v>1825.67</v>
      </c>
      <c r="H20" s="126">
        <v>5464.2303099999999</v>
      </c>
      <c r="I20" s="10"/>
    </row>
    <row r="21" spans="1:9" ht="24" customHeight="1" x14ac:dyDescent="0.25">
      <c r="A21" s="3">
        <v>16</v>
      </c>
      <c r="B21" s="103" t="s">
        <v>19</v>
      </c>
      <c r="C21" s="135" t="s">
        <v>57</v>
      </c>
      <c r="D21" s="139" t="s">
        <v>57</v>
      </c>
      <c r="E21" s="140"/>
      <c r="F21" s="2"/>
      <c r="G21" s="123">
        <v>472.32</v>
      </c>
      <c r="H21" s="126">
        <v>1157.1839999999997</v>
      </c>
      <c r="I21" s="10"/>
    </row>
    <row r="22" spans="1:9" ht="24" customHeight="1" x14ac:dyDescent="0.25">
      <c r="A22" s="3">
        <v>17</v>
      </c>
      <c r="B22" s="103" t="s">
        <v>20</v>
      </c>
      <c r="C22" s="135" t="s">
        <v>57</v>
      </c>
      <c r="D22" s="139" t="s">
        <v>57</v>
      </c>
      <c r="E22" s="140"/>
      <c r="F22" s="2"/>
      <c r="G22" s="123">
        <v>2008.51</v>
      </c>
      <c r="H22" s="126">
        <v>5153.8366599999999</v>
      </c>
      <c r="I22" s="10"/>
    </row>
    <row r="23" spans="1:9" ht="24" customHeight="1" x14ac:dyDescent="0.25">
      <c r="A23" s="3">
        <v>18</v>
      </c>
      <c r="B23" s="103" t="s">
        <v>16</v>
      </c>
      <c r="C23" s="135" t="s">
        <v>57</v>
      </c>
      <c r="D23" s="139" t="s">
        <v>57</v>
      </c>
      <c r="E23" s="140"/>
      <c r="F23" s="2"/>
      <c r="G23" s="123">
        <v>1835.75</v>
      </c>
      <c r="H23" s="126">
        <v>4967.5394999999999</v>
      </c>
      <c r="I23" s="10"/>
    </row>
    <row r="24" spans="1:9" ht="24" customHeight="1" x14ac:dyDescent="0.25">
      <c r="A24" s="3">
        <v>19</v>
      </c>
      <c r="B24" s="103" t="s">
        <v>31</v>
      </c>
      <c r="C24" s="135" t="s">
        <v>57</v>
      </c>
      <c r="D24" s="139" t="s">
        <v>57</v>
      </c>
      <c r="E24" s="140"/>
      <c r="F24" s="2"/>
      <c r="G24" s="123">
        <v>472.32</v>
      </c>
      <c r="H24" s="126">
        <v>1273.538</v>
      </c>
      <c r="I24" s="10"/>
    </row>
    <row r="25" spans="1:9" ht="24" customHeight="1" x14ac:dyDescent="0.25">
      <c r="A25" s="3">
        <v>20</v>
      </c>
      <c r="B25" s="103" t="s">
        <v>17</v>
      </c>
      <c r="C25" s="135" t="s">
        <v>57</v>
      </c>
      <c r="D25" s="139" t="s">
        <v>57</v>
      </c>
      <c r="E25" s="140"/>
      <c r="F25" s="2"/>
      <c r="G25" s="123">
        <v>1996.75</v>
      </c>
      <c r="H25" s="126">
        <v>4385.71875</v>
      </c>
      <c r="I25" s="10"/>
    </row>
    <row r="26" spans="1:9" ht="24" customHeight="1" x14ac:dyDescent="0.25">
      <c r="A26" s="3">
        <v>21</v>
      </c>
      <c r="B26" s="103" t="s">
        <v>13</v>
      </c>
      <c r="C26" s="135" t="s">
        <v>57</v>
      </c>
      <c r="D26" s="139" t="s">
        <v>57</v>
      </c>
      <c r="E26" s="140"/>
      <c r="F26" s="2"/>
      <c r="G26" s="123">
        <v>2146.27</v>
      </c>
      <c r="H26" s="126">
        <v>5257.4596799999999</v>
      </c>
      <c r="I26" s="10"/>
    </row>
    <row r="27" spans="1:9" ht="24" customHeight="1" x14ac:dyDescent="0.25">
      <c r="A27" s="3">
        <v>22</v>
      </c>
      <c r="B27" s="103" t="s">
        <v>188</v>
      </c>
      <c r="C27" s="135" t="s">
        <v>57</v>
      </c>
      <c r="D27" s="139" t="s">
        <v>57</v>
      </c>
      <c r="E27" s="140"/>
      <c r="F27" s="2"/>
      <c r="G27" s="123">
        <v>472.32</v>
      </c>
      <c r="H27" s="126">
        <v>1105.4933599999999</v>
      </c>
      <c r="I27" s="10"/>
    </row>
    <row r="28" spans="1:9" ht="24" customHeight="1" x14ac:dyDescent="0.25">
      <c r="A28" s="3">
        <v>22</v>
      </c>
      <c r="B28" s="103" t="s">
        <v>14</v>
      </c>
      <c r="C28" s="135" t="s">
        <v>57</v>
      </c>
      <c r="D28" s="139" t="s">
        <v>57</v>
      </c>
      <c r="E28" s="140"/>
      <c r="F28" s="2"/>
      <c r="G28" s="123">
        <v>1984.7800000000002</v>
      </c>
      <c r="H28" s="126">
        <v>1920.2746499999998</v>
      </c>
      <c r="I28" s="10"/>
    </row>
    <row r="29" spans="1:9" ht="24" customHeight="1" x14ac:dyDescent="0.25">
      <c r="A29" s="3">
        <v>23</v>
      </c>
      <c r="B29" s="103" t="s">
        <v>10</v>
      </c>
      <c r="C29" s="135" t="s">
        <v>57</v>
      </c>
      <c r="D29" s="139" t="s">
        <v>57</v>
      </c>
      <c r="E29" s="140"/>
      <c r="F29" s="2"/>
      <c r="G29" s="123">
        <v>2238.8799999999997</v>
      </c>
      <c r="H29" s="126">
        <v>5077.7798399999992</v>
      </c>
      <c r="I29" s="10"/>
    </row>
    <row r="30" spans="1:9" ht="24" customHeight="1" x14ac:dyDescent="0.25">
      <c r="A30" s="3">
        <v>24</v>
      </c>
      <c r="B30" s="103" t="s">
        <v>11</v>
      </c>
      <c r="C30" s="135" t="s">
        <v>57</v>
      </c>
      <c r="D30" s="139" t="s">
        <v>57</v>
      </c>
      <c r="E30" s="140"/>
      <c r="F30" s="2"/>
      <c r="G30" s="123">
        <v>1996.26</v>
      </c>
      <c r="H30" s="126">
        <v>5214.2311199999995</v>
      </c>
      <c r="I30" s="10"/>
    </row>
    <row r="31" spans="1:9" ht="24" customHeight="1" x14ac:dyDescent="0.25">
      <c r="A31" s="3">
        <v>25</v>
      </c>
      <c r="B31" s="103" t="s">
        <v>32</v>
      </c>
      <c r="C31" s="135" t="s">
        <v>57</v>
      </c>
      <c r="D31" s="139" t="s">
        <v>57</v>
      </c>
      <c r="E31" s="140"/>
      <c r="F31" s="2"/>
      <c r="G31" s="123">
        <v>2567.8799999999997</v>
      </c>
      <c r="H31" s="126">
        <v>5042.8239399999993</v>
      </c>
      <c r="I31" s="10"/>
    </row>
    <row r="32" spans="1:9" ht="24" customHeight="1" x14ac:dyDescent="0.25">
      <c r="A32" s="3">
        <v>26</v>
      </c>
      <c r="B32" s="103" t="s">
        <v>8</v>
      </c>
      <c r="C32" s="135" t="s">
        <v>57</v>
      </c>
      <c r="D32" s="139" t="s">
        <v>57</v>
      </c>
      <c r="E32" s="140"/>
      <c r="F32" s="2"/>
      <c r="G32" s="123">
        <v>1984.08</v>
      </c>
      <c r="H32" s="126">
        <v>4634.8108800000009</v>
      </c>
      <c r="I32" s="10"/>
    </row>
    <row r="33" spans="1:9" ht="24" customHeight="1" x14ac:dyDescent="0.25">
      <c r="A33" s="3">
        <v>27</v>
      </c>
      <c r="B33" s="103" t="s">
        <v>33</v>
      </c>
      <c r="C33" s="135" t="s">
        <v>57</v>
      </c>
      <c r="D33" s="139" t="s">
        <v>57</v>
      </c>
      <c r="E33" s="140"/>
      <c r="F33" s="2"/>
      <c r="G33" s="123">
        <v>4531.5</v>
      </c>
      <c r="H33" s="126">
        <v>2514.39</v>
      </c>
      <c r="I33" s="10"/>
    </row>
    <row r="34" spans="1:9" ht="24" customHeight="1" x14ac:dyDescent="0.25">
      <c r="A34" s="3">
        <v>28</v>
      </c>
      <c r="B34" s="103" t="s">
        <v>9</v>
      </c>
      <c r="C34" s="135" t="s">
        <v>57</v>
      </c>
      <c r="D34" s="139" t="s">
        <v>57</v>
      </c>
      <c r="E34" s="140"/>
      <c r="F34" s="2"/>
      <c r="G34" s="123">
        <v>578.28</v>
      </c>
      <c r="H34" s="126">
        <v>1734.3099099999999</v>
      </c>
      <c r="I34" s="10"/>
    </row>
    <row r="35" spans="1:9" ht="24" customHeight="1" x14ac:dyDescent="0.25">
      <c r="A35" s="3">
        <v>29</v>
      </c>
      <c r="B35" s="103" t="s">
        <v>12</v>
      </c>
      <c r="C35" s="135" t="s">
        <v>57</v>
      </c>
      <c r="D35" s="139" t="s">
        <v>57</v>
      </c>
      <c r="E35" s="140"/>
      <c r="F35" s="2"/>
      <c r="G35" s="123">
        <v>518.58000000000004</v>
      </c>
      <c r="H35" s="126">
        <v>1070.392335</v>
      </c>
      <c r="I35" s="10"/>
    </row>
    <row r="36" spans="1:9" ht="24" customHeight="1" x14ac:dyDescent="0.25">
      <c r="A36" s="3">
        <v>30</v>
      </c>
      <c r="B36" s="103" t="s">
        <v>15</v>
      </c>
      <c r="C36" s="135" t="s">
        <v>57</v>
      </c>
      <c r="D36" s="139" t="s">
        <v>57</v>
      </c>
      <c r="E36" s="140"/>
      <c r="F36" s="2"/>
      <c r="G36" s="123">
        <v>3295.46</v>
      </c>
      <c r="H36" s="126">
        <v>5252.9632399999991</v>
      </c>
      <c r="I36" s="10"/>
    </row>
    <row r="37" spans="1:9" ht="24" customHeight="1" x14ac:dyDescent="0.25">
      <c r="A37" s="3">
        <v>31</v>
      </c>
      <c r="B37" s="103" t="s">
        <v>21</v>
      </c>
      <c r="C37" s="135" t="s">
        <v>57</v>
      </c>
      <c r="D37" s="139" t="s">
        <v>57</v>
      </c>
      <c r="E37" s="140"/>
      <c r="F37" s="2"/>
      <c r="G37" s="123">
        <v>1791.72</v>
      </c>
      <c r="H37" s="126">
        <v>1023.84</v>
      </c>
      <c r="I37" s="10"/>
    </row>
    <row r="38" spans="1:9" ht="18.75" x14ac:dyDescent="0.25">
      <c r="A38" s="3">
        <v>32</v>
      </c>
      <c r="B38" s="104" t="s">
        <v>48</v>
      </c>
      <c r="C38" s="135" t="s">
        <v>57</v>
      </c>
      <c r="D38" s="139" t="s">
        <v>57</v>
      </c>
      <c r="E38" s="140"/>
      <c r="F38" s="2"/>
      <c r="G38" s="123">
        <v>2283.89</v>
      </c>
      <c r="H38" s="126">
        <v>5877.7540499999996</v>
      </c>
      <c r="I38" s="10"/>
    </row>
    <row r="39" spans="1:9" ht="24" customHeight="1" x14ac:dyDescent="0.25">
      <c r="A39" s="3">
        <v>33</v>
      </c>
      <c r="B39" s="103" t="s">
        <v>34</v>
      </c>
      <c r="C39" s="135" t="s">
        <v>57</v>
      </c>
      <c r="D39" s="139" t="s">
        <v>57</v>
      </c>
      <c r="E39" s="140"/>
      <c r="F39" s="2"/>
      <c r="G39" s="123">
        <v>1743.5600000000002</v>
      </c>
      <c r="H39" s="126">
        <v>3495.05</v>
      </c>
      <c r="I39" s="10"/>
    </row>
    <row r="40" spans="1:9" ht="24" customHeight="1" x14ac:dyDescent="0.25">
      <c r="A40" s="3">
        <v>34</v>
      </c>
      <c r="B40" s="103" t="s">
        <v>162</v>
      </c>
      <c r="C40" s="135" t="s">
        <v>57</v>
      </c>
      <c r="D40" s="139" t="s">
        <v>57</v>
      </c>
      <c r="E40" s="140"/>
      <c r="F40" s="2"/>
      <c r="G40" s="123">
        <v>2255.0499999999997</v>
      </c>
      <c r="H40" s="126">
        <v>5128.33</v>
      </c>
      <c r="I40" s="10"/>
    </row>
    <row r="41" spans="1:9" s="5" customFormat="1" ht="36.950000000000003" customHeight="1" x14ac:dyDescent="0.25">
      <c r="A41" s="3">
        <v>35</v>
      </c>
      <c r="B41" s="104" t="s">
        <v>166</v>
      </c>
      <c r="C41" s="135" t="s">
        <v>57</v>
      </c>
      <c r="D41" s="139" t="s">
        <v>57</v>
      </c>
      <c r="E41" s="140"/>
      <c r="F41" s="4"/>
      <c r="G41" s="145">
        <v>1950.66</v>
      </c>
      <c r="H41" s="146">
        <v>1893.3000000000002</v>
      </c>
      <c r="I41" s="11"/>
    </row>
    <row r="42" spans="1:9" ht="24" customHeight="1" x14ac:dyDescent="0.25">
      <c r="A42" s="3">
        <v>36</v>
      </c>
      <c r="B42" s="103" t="s">
        <v>189</v>
      </c>
      <c r="C42" s="135" t="s">
        <v>57</v>
      </c>
      <c r="D42" s="139" t="s">
        <v>57</v>
      </c>
      <c r="E42" s="140"/>
      <c r="F42" s="2"/>
      <c r="G42" s="123">
        <v>1109.01</v>
      </c>
      <c r="H42" s="126">
        <v>633.72</v>
      </c>
      <c r="I42" s="10"/>
    </row>
    <row r="43" spans="1:9" ht="24" customHeight="1" x14ac:dyDescent="0.25">
      <c r="A43" s="3">
        <v>37</v>
      </c>
      <c r="B43" s="148" t="s">
        <v>35</v>
      </c>
      <c r="C43" s="135" t="s">
        <v>57</v>
      </c>
      <c r="D43" s="139" t="s">
        <v>57</v>
      </c>
      <c r="E43" s="140"/>
      <c r="F43" s="2"/>
      <c r="G43" s="123">
        <v>1725.8</v>
      </c>
      <c r="H43" s="126">
        <v>4450.26</v>
      </c>
      <c r="I43" s="10"/>
    </row>
    <row r="44" spans="1:9" ht="24" customHeight="1" x14ac:dyDescent="0.25">
      <c r="A44" s="3">
        <v>38</v>
      </c>
      <c r="B44" s="103" t="s">
        <v>37</v>
      </c>
      <c r="C44" s="135" t="s">
        <v>57</v>
      </c>
      <c r="D44" s="139" t="s">
        <v>57</v>
      </c>
      <c r="E44" s="140"/>
      <c r="F44" s="2"/>
      <c r="G44" s="164">
        <v>8343.264000000001</v>
      </c>
      <c r="H44" s="165">
        <v>8343.264000000001</v>
      </c>
      <c r="I44" s="10"/>
    </row>
    <row r="45" spans="1:9" ht="24" customHeight="1" x14ac:dyDescent="0.25">
      <c r="A45" s="3">
        <v>45</v>
      </c>
      <c r="B45" s="103" t="s">
        <v>163</v>
      </c>
      <c r="C45" s="135"/>
      <c r="D45" s="139" t="s">
        <v>57</v>
      </c>
      <c r="E45" s="140"/>
      <c r="F45" s="2"/>
      <c r="G45" s="123">
        <v>2241.54</v>
      </c>
      <c r="H45" s="126">
        <v>1905.309</v>
      </c>
      <c r="I45" s="10"/>
    </row>
    <row r="46" spans="1:9" ht="24" customHeight="1" x14ac:dyDescent="0.25">
      <c r="A46" s="3">
        <v>40</v>
      </c>
      <c r="B46" s="103" t="s">
        <v>45</v>
      </c>
      <c r="C46" s="135"/>
      <c r="D46" s="139" t="s">
        <v>57</v>
      </c>
      <c r="E46" s="140"/>
      <c r="F46" s="2"/>
      <c r="G46" s="123">
        <v>0</v>
      </c>
      <c r="H46" s="126">
        <v>7414.82125</v>
      </c>
      <c r="I46" s="10"/>
    </row>
    <row r="47" spans="1:9" ht="24" customHeight="1" x14ac:dyDescent="0.25">
      <c r="A47" s="3">
        <v>44</v>
      </c>
      <c r="B47" s="103" t="s">
        <v>159</v>
      </c>
      <c r="C47" s="135"/>
      <c r="D47" s="139" t="s">
        <v>57</v>
      </c>
      <c r="E47" s="140"/>
      <c r="F47" s="2"/>
      <c r="G47" s="123">
        <v>0</v>
      </c>
      <c r="H47" s="126">
        <v>1800</v>
      </c>
      <c r="I47" s="10"/>
    </row>
    <row r="48" spans="1:9" ht="24" customHeight="1" x14ac:dyDescent="0.25">
      <c r="A48" s="3">
        <v>41</v>
      </c>
      <c r="B48" s="148" t="s">
        <v>49</v>
      </c>
      <c r="C48" s="135"/>
      <c r="D48" s="139" t="s">
        <v>57</v>
      </c>
      <c r="E48" s="140"/>
      <c r="F48" s="2"/>
      <c r="G48" s="123">
        <v>0</v>
      </c>
      <c r="H48" s="126">
        <v>2485</v>
      </c>
      <c r="I48" s="10"/>
    </row>
    <row r="49" spans="1:9" ht="24" customHeight="1" x14ac:dyDescent="0.25">
      <c r="A49" s="3">
        <v>46</v>
      </c>
      <c r="B49" s="166" t="s">
        <v>160</v>
      </c>
      <c r="C49" s="135"/>
      <c r="D49" s="139" t="s">
        <v>57</v>
      </c>
      <c r="E49" s="140"/>
      <c r="F49" s="2"/>
      <c r="G49" s="123">
        <v>0</v>
      </c>
      <c r="H49" s="126">
        <v>10522.456</v>
      </c>
      <c r="I49" s="10"/>
    </row>
    <row r="50" spans="1:9" ht="24" customHeight="1" x14ac:dyDescent="0.25">
      <c r="A50" s="3">
        <v>47</v>
      </c>
      <c r="B50" s="166" t="s">
        <v>40</v>
      </c>
      <c r="C50" s="135"/>
      <c r="D50" s="139" t="s">
        <v>57</v>
      </c>
      <c r="E50" s="140"/>
      <c r="F50" s="2"/>
      <c r="G50" s="123">
        <v>0</v>
      </c>
      <c r="H50" s="126">
        <v>12379.36</v>
      </c>
      <c r="I50" s="10"/>
    </row>
    <row r="51" spans="1:9" ht="24" customHeight="1" x14ac:dyDescent="0.25">
      <c r="A51" s="3">
        <v>48</v>
      </c>
      <c r="B51" s="166" t="s">
        <v>190</v>
      </c>
      <c r="C51" s="135"/>
      <c r="D51" s="139" t="s">
        <v>57</v>
      </c>
      <c r="E51" s="140"/>
      <c r="F51" s="2"/>
      <c r="G51" s="123">
        <v>0</v>
      </c>
      <c r="H51" s="126">
        <v>11141.424000000001</v>
      </c>
      <c r="I51" s="10"/>
    </row>
    <row r="52" spans="1:9" ht="24" customHeight="1" x14ac:dyDescent="0.25">
      <c r="A52" s="3">
        <v>49</v>
      </c>
      <c r="B52" s="166" t="s">
        <v>41</v>
      </c>
      <c r="C52" s="135"/>
      <c r="D52" s="139" t="s">
        <v>57</v>
      </c>
      <c r="E52" s="140"/>
      <c r="F52" s="2"/>
      <c r="G52" s="123">
        <v>0</v>
      </c>
      <c r="H52" s="126">
        <v>4200</v>
      </c>
      <c r="I52" s="10"/>
    </row>
    <row r="53" spans="1:9" ht="24" customHeight="1" x14ac:dyDescent="0.25">
      <c r="A53" s="3">
        <v>50</v>
      </c>
      <c r="B53" s="166" t="s">
        <v>185</v>
      </c>
      <c r="C53" s="135"/>
      <c r="D53" s="139" t="s">
        <v>57</v>
      </c>
      <c r="E53" s="140"/>
      <c r="F53" s="2"/>
      <c r="G53" s="123">
        <v>0</v>
      </c>
      <c r="H53" s="126">
        <v>4951.7440000000006</v>
      </c>
      <c r="I53" s="10"/>
    </row>
    <row r="54" spans="1:9" ht="24" customHeight="1" x14ac:dyDescent="0.25">
      <c r="A54" s="141">
        <v>39</v>
      </c>
      <c r="B54" s="167" t="s">
        <v>161</v>
      </c>
      <c r="C54" s="135"/>
      <c r="D54" s="139" t="s">
        <v>57</v>
      </c>
      <c r="E54" s="140"/>
      <c r="F54" s="2"/>
      <c r="G54" s="123">
        <v>0</v>
      </c>
      <c r="H54" s="126">
        <v>2362.08</v>
      </c>
      <c r="I54" s="10"/>
    </row>
    <row r="55" spans="1:9" ht="24" customHeight="1" x14ac:dyDescent="0.25">
      <c r="A55" s="141"/>
      <c r="B55" s="167" t="s">
        <v>191</v>
      </c>
      <c r="C55" s="135"/>
      <c r="D55" s="139" t="s">
        <v>57</v>
      </c>
      <c r="E55" s="140"/>
      <c r="F55" s="2"/>
      <c r="G55" s="123"/>
      <c r="H55" s="126">
        <v>1342.4099999999999</v>
      </c>
      <c r="I55" s="10"/>
    </row>
    <row r="56" spans="1:9" ht="24" customHeight="1" x14ac:dyDescent="0.25">
      <c r="A56" s="3">
        <v>42</v>
      </c>
      <c r="B56" s="147" t="s">
        <v>50</v>
      </c>
      <c r="C56" s="135"/>
      <c r="D56" s="139" t="s">
        <v>57</v>
      </c>
      <c r="E56" s="140"/>
      <c r="F56" s="2"/>
      <c r="G56" s="123">
        <v>0</v>
      </c>
      <c r="H56" s="126">
        <v>0</v>
      </c>
      <c r="I56" s="10"/>
    </row>
    <row r="57" spans="1:9" ht="24" customHeight="1" x14ac:dyDescent="0.25">
      <c r="A57" s="3">
        <v>43</v>
      </c>
      <c r="B57" s="147" t="s">
        <v>158</v>
      </c>
      <c r="C57" s="135"/>
      <c r="D57" s="139" t="s">
        <v>57</v>
      </c>
      <c r="E57" s="140"/>
      <c r="F57" s="2"/>
      <c r="G57" s="123">
        <v>0</v>
      </c>
      <c r="H57" s="126">
        <v>0</v>
      </c>
      <c r="I57" s="10"/>
    </row>
    <row r="58" spans="1:9" ht="6.95" customHeight="1" x14ac:dyDescent="0.25">
      <c r="A58" s="3"/>
      <c r="B58" s="103"/>
      <c r="C58" s="136"/>
      <c r="D58" s="136"/>
      <c r="E58" s="136"/>
      <c r="F58" s="2"/>
      <c r="G58" s="124"/>
      <c r="H58" s="124"/>
      <c r="I58" s="2"/>
    </row>
    <row r="59" spans="1:9" ht="24" customHeight="1" x14ac:dyDescent="0.25">
      <c r="A59" s="3">
        <v>50</v>
      </c>
      <c r="B59" s="105" t="s">
        <v>38</v>
      </c>
      <c r="C59" s="135"/>
      <c r="D59" s="139"/>
      <c r="E59" s="140" t="s">
        <v>57</v>
      </c>
      <c r="F59" s="2"/>
      <c r="G59" s="123"/>
      <c r="H59" s="126"/>
      <c r="I59" s="10">
        <v>380</v>
      </c>
    </row>
    <row r="60" spans="1:9" ht="24" customHeight="1" x14ac:dyDescent="0.25">
      <c r="A60" s="3">
        <v>51</v>
      </c>
      <c r="B60" s="105" t="s">
        <v>39</v>
      </c>
      <c r="C60" s="135"/>
      <c r="D60" s="139"/>
      <c r="E60" s="140" t="s">
        <v>57</v>
      </c>
      <c r="F60" s="2"/>
      <c r="G60" s="123"/>
      <c r="H60" s="126"/>
      <c r="I60" s="10">
        <v>495</v>
      </c>
    </row>
    <row r="61" spans="1:9" ht="24" customHeight="1" x14ac:dyDescent="0.25">
      <c r="A61" s="3">
        <v>52</v>
      </c>
      <c r="B61" s="105" t="s">
        <v>46</v>
      </c>
      <c r="C61" s="135"/>
      <c r="D61" s="139"/>
      <c r="E61" s="140" t="s">
        <v>57</v>
      </c>
      <c r="F61" s="2"/>
      <c r="G61" s="123"/>
      <c r="H61" s="126"/>
      <c r="I61" s="10">
        <v>292</v>
      </c>
    </row>
    <row r="62" spans="1:9" ht="24" customHeight="1" x14ac:dyDescent="0.25">
      <c r="A62" s="3">
        <v>53</v>
      </c>
      <c r="B62" s="105" t="s">
        <v>187</v>
      </c>
      <c r="C62" s="135"/>
      <c r="D62" s="139"/>
      <c r="E62" s="140" t="s">
        <v>57</v>
      </c>
      <c r="F62" s="2"/>
      <c r="G62" s="123"/>
      <c r="H62" s="126"/>
      <c r="I62" s="10">
        <v>1644.9099999999999</v>
      </c>
    </row>
    <row r="63" spans="1:9" ht="24" customHeight="1" x14ac:dyDescent="0.25">
      <c r="A63" s="3">
        <v>54</v>
      </c>
      <c r="B63" s="105" t="s">
        <v>42</v>
      </c>
      <c r="C63" s="135"/>
      <c r="D63" s="139"/>
      <c r="E63" s="140" t="s">
        <v>57</v>
      </c>
      <c r="F63" s="2"/>
      <c r="G63" s="123"/>
      <c r="H63" s="126"/>
      <c r="I63" s="10">
        <v>450.75</v>
      </c>
    </row>
    <row r="64" spans="1:9" ht="24" customHeight="1" x14ac:dyDescent="0.25">
      <c r="A64" s="3">
        <v>55</v>
      </c>
      <c r="B64" s="105" t="s">
        <v>43</v>
      </c>
      <c r="C64" s="135"/>
      <c r="D64" s="139"/>
      <c r="E64" s="140" t="s">
        <v>57</v>
      </c>
      <c r="F64" s="2"/>
      <c r="G64" s="123"/>
      <c r="H64" s="126"/>
      <c r="I64" s="149">
        <v>2827</v>
      </c>
    </row>
    <row r="65" spans="1:12" ht="24" customHeight="1" x14ac:dyDescent="0.25">
      <c r="A65" s="3">
        <v>56</v>
      </c>
      <c r="B65" s="105" t="s">
        <v>44</v>
      </c>
      <c r="C65" s="135"/>
      <c r="D65" s="139"/>
      <c r="E65" s="140" t="s">
        <v>57</v>
      </c>
      <c r="F65" s="2"/>
      <c r="G65" s="123"/>
      <c r="H65" s="126"/>
      <c r="I65" s="10">
        <v>234.75</v>
      </c>
    </row>
    <row r="66" spans="1:12" ht="24" customHeight="1" x14ac:dyDescent="0.25">
      <c r="A66" s="3">
        <v>57</v>
      </c>
      <c r="B66" s="105" t="s">
        <v>36</v>
      </c>
      <c r="C66" s="135"/>
      <c r="D66" s="139"/>
      <c r="E66" s="140" t="s">
        <v>57</v>
      </c>
      <c r="F66" s="2"/>
      <c r="G66" s="123"/>
      <c r="H66" s="126"/>
      <c r="I66" s="10">
        <v>850</v>
      </c>
    </row>
    <row r="67" spans="1:12" ht="24" customHeight="1" x14ac:dyDescent="0.25">
      <c r="A67" s="3"/>
      <c r="B67" s="4"/>
      <c r="C67" s="136"/>
      <c r="D67" s="136"/>
      <c r="E67" s="136"/>
      <c r="F67" s="2"/>
      <c r="G67" s="124"/>
      <c r="H67" s="124"/>
      <c r="I67" s="2"/>
    </row>
    <row r="68" spans="1:12" ht="24" customHeight="1" x14ac:dyDescent="0.25">
      <c r="A68" s="211" t="s">
        <v>167</v>
      </c>
      <c r="B68" s="205"/>
      <c r="C68" s="205"/>
      <c r="D68" s="205"/>
      <c r="E68" s="206"/>
      <c r="F68" s="2"/>
      <c r="G68" s="124">
        <f>SUM(G6:G66)</f>
        <v>86851.65399999998</v>
      </c>
      <c r="H68" s="124">
        <f>SUM(H6:H66)</f>
        <v>204705.16754500003</v>
      </c>
      <c r="I68" s="124">
        <f>SUM(I6:I66)</f>
        <v>7174.41</v>
      </c>
    </row>
    <row r="69" spans="1:12" ht="24" customHeight="1" x14ac:dyDescent="0.25">
      <c r="A69" s="137"/>
      <c r="B69" s="205" t="s">
        <v>171</v>
      </c>
      <c r="C69" s="205"/>
      <c r="D69" s="205"/>
      <c r="E69" s="206"/>
      <c r="F69" s="2"/>
      <c r="G69" s="124">
        <f>G68*2</f>
        <v>173703.30799999996</v>
      </c>
      <c r="H69" s="124">
        <f>H68*2</f>
        <v>409410.33509000007</v>
      </c>
      <c r="I69" s="112">
        <f>I68*8</f>
        <v>57395.28</v>
      </c>
    </row>
    <row r="70" spans="1:12" ht="24" customHeight="1" x14ac:dyDescent="0.25">
      <c r="A70" s="137"/>
      <c r="B70" s="205" t="s">
        <v>177</v>
      </c>
      <c r="C70" s="205"/>
      <c r="D70" s="205"/>
      <c r="E70" s="206"/>
      <c r="F70" s="2"/>
      <c r="G70" s="124">
        <f>G69*6</f>
        <v>1042219.8479999998</v>
      </c>
      <c r="H70" s="124">
        <f>H69*6</f>
        <v>2456462.0105400002</v>
      </c>
      <c r="I70" s="112">
        <f>I69*4</f>
        <v>229581.12</v>
      </c>
    </row>
    <row r="71" spans="1:12" ht="24" customHeight="1" x14ac:dyDescent="0.25">
      <c r="A71" s="137"/>
      <c r="B71" s="138"/>
      <c r="C71" s="138"/>
      <c r="D71" s="138"/>
      <c r="E71" s="113" t="s">
        <v>168</v>
      </c>
      <c r="F71" s="2"/>
      <c r="G71" s="124">
        <f>G69/23</f>
        <v>7552.3177391304334</v>
      </c>
      <c r="H71" s="124">
        <f>H69/23</f>
        <v>17800.449351739135</v>
      </c>
      <c r="I71" s="112">
        <f>I69/23</f>
        <v>2495.4469565217391</v>
      </c>
    </row>
    <row r="72" spans="1:12" ht="24" customHeight="1" x14ac:dyDescent="0.25">
      <c r="A72" s="137"/>
      <c r="B72" s="138"/>
      <c r="C72" s="138"/>
      <c r="D72" s="138"/>
      <c r="E72" s="113" t="s">
        <v>170</v>
      </c>
      <c r="F72" s="2"/>
      <c r="G72" s="124">
        <f>G77/5</f>
        <v>3736.4</v>
      </c>
      <c r="H72" s="124">
        <f>H77/5</f>
        <v>4554.3999999999996</v>
      </c>
      <c r="I72" s="2"/>
      <c r="K72" s="107"/>
    </row>
    <row r="73" spans="1:12" ht="24" customHeight="1" x14ac:dyDescent="0.25">
      <c r="A73" s="137"/>
      <c r="B73" s="138"/>
      <c r="C73" s="138"/>
      <c r="D73" s="138"/>
      <c r="E73" s="113" t="s">
        <v>169</v>
      </c>
      <c r="F73" s="2"/>
      <c r="G73" s="124">
        <f>G71/G72</f>
        <v>2.0212819128386772</v>
      </c>
      <c r="H73" s="124">
        <f>H71/H72</f>
        <v>3.9084071121858281</v>
      </c>
      <c r="I73" s="2">
        <v>2</v>
      </c>
    </row>
    <row r="74" spans="1:12" ht="24" customHeight="1" x14ac:dyDescent="0.25">
      <c r="A74" s="3"/>
      <c r="B74" s="4"/>
      <c r="C74" s="135"/>
      <c r="D74" s="139"/>
      <c r="E74" s="140"/>
      <c r="F74" s="2"/>
      <c r="G74" s="123">
        <v>2</v>
      </c>
      <c r="H74" s="126">
        <v>5</v>
      </c>
      <c r="I74" s="10">
        <v>2</v>
      </c>
      <c r="L74" s="107"/>
    </row>
    <row r="76" spans="1:12" x14ac:dyDescent="0.25">
      <c r="K76" s="107"/>
    </row>
    <row r="77" spans="1:12" x14ac:dyDescent="0.25">
      <c r="G77" s="125">
        <f>18682</f>
        <v>18682</v>
      </c>
      <c r="H77" s="125">
        <f>22772</f>
        <v>22772</v>
      </c>
      <c r="I77" t="s">
        <v>175</v>
      </c>
    </row>
    <row r="80" spans="1:12" x14ac:dyDescent="0.25">
      <c r="G80" s="125">
        <f>G69/21</f>
        <v>8271.5860952380935</v>
      </c>
      <c r="H80" s="125">
        <f>H69/21</f>
        <v>19495.730242380956</v>
      </c>
    </row>
  </sheetData>
  <mergeCells count="12">
    <mergeCell ref="B69:E69"/>
    <mergeCell ref="B70:E70"/>
    <mergeCell ref="I4:I5"/>
    <mergeCell ref="D3:D5"/>
    <mergeCell ref="E3:E5"/>
    <mergeCell ref="F3:F5"/>
    <mergeCell ref="A68:E68"/>
    <mergeCell ref="G4:G5"/>
    <mergeCell ref="H4:H5"/>
    <mergeCell ref="A3:A5"/>
    <mergeCell ref="B3:B5"/>
    <mergeCell ref="C3:C5"/>
  </mergeCells>
  <printOptions horizontalCentered="1"/>
  <pageMargins left="0.25" right="0.25" top="0.75" bottom="0.75" header="0.3" footer="0.3"/>
  <pageSetup paperSize="9" scale="37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4B56-6E92-0849-AA0B-CF089CD0985C}">
  <sheetPr>
    <pageSetUpPr fitToPage="1"/>
  </sheetPr>
  <dimension ref="A2:Q211"/>
  <sheetViews>
    <sheetView zoomScale="125" workbookViewId="0">
      <pane xSplit="3" ySplit="6" topLeftCell="D167" activePane="bottomRight" state="frozen"/>
      <selection pane="topRight" activeCell="D1" sqref="D1"/>
      <selection pane="bottomLeft" activeCell="A7" sqref="A7"/>
      <selection pane="bottomRight" activeCell="P178" sqref="P178"/>
    </sheetView>
  </sheetViews>
  <sheetFormatPr defaultColWidth="10.625" defaultRowHeight="15.75" x14ac:dyDescent="0.25"/>
  <cols>
    <col min="1" max="1" width="7.125" customWidth="1"/>
    <col min="2" max="2" width="6.375" customWidth="1"/>
    <col min="3" max="3" width="49.625" bestFit="1" customWidth="1"/>
    <col min="5" max="5" width="5.125" bestFit="1" customWidth="1"/>
    <col min="7" max="8" width="14" customWidth="1"/>
    <col min="9" max="9" width="18.375" bestFit="1" customWidth="1"/>
    <col min="11" max="11" width="13.5" customWidth="1"/>
    <col min="12" max="12" width="20.875" customWidth="1"/>
    <col min="13" max="13" width="3" customWidth="1"/>
    <col min="15" max="15" width="17.375" customWidth="1"/>
    <col min="16" max="16" width="12.5" style="106" bestFit="1" customWidth="1"/>
  </cols>
  <sheetData>
    <row r="2" spans="1:16" ht="23.25" x14ac:dyDescent="0.35">
      <c r="A2" s="226" t="s">
        <v>179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6" ht="23.25" x14ac:dyDescent="0.35">
      <c r="A3" s="226" t="s">
        <v>222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6" ht="16.5" thickBot="1" x14ac:dyDescent="0.3"/>
    <row r="5" spans="1:16" x14ac:dyDescent="0.25">
      <c r="A5" s="227" t="s">
        <v>58</v>
      </c>
      <c r="B5" s="229" t="s">
        <v>59</v>
      </c>
      <c r="C5" s="230"/>
      <c r="D5" s="233" t="s">
        <v>60</v>
      </c>
      <c r="E5" s="233" t="s">
        <v>61</v>
      </c>
      <c r="F5" s="235" t="s">
        <v>62</v>
      </c>
      <c r="G5" s="237" t="s">
        <v>63</v>
      </c>
      <c r="H5" s="237" t="s">
        <v>64</v>
      </c>
      <c r="I5" s="239" t="s">
        <v>192</v>
      </c>
      <c r="J5" s="240"/>
      <c r="K5" s="229" t="s">
        <v>66</v>
      </c>
      <c r="L5" s="243"/>
    </row>
    <row r="6" spans="1:16" ht="16.5" thickBot="1" x14ac:dyDescent="0.3">
      <c r="A6" s="228"/>
      <c r="B6" s="231"/>
      <c r="C6" s="232"/>
      <c r="D6" s="234"/>
      <c r="E6" s="234"/>
      <c r="F6" s="236"/>
      <c r="G6" s="238"/>
      <c r="H6" s="238"/>
      <c r="I6" s="241"/>
      <c r="J6" s="242"/>
      <c r="K6" s="231"/>
      <c r="L6" s="244"/>
    </row>
    <row r="7" spans="1:16" ht="18" thickTop="1" thickBot="1" x14ac:dyDescent="0.3">
      <c r="A7" s="168" t="s">
        <v>67</v>
      </c>
      <c r="B7" s="168"/>
      <c r="C7" s="169"/>
      <c r="D7" s="170"/>
      <c r="E7" s="170"/>
      <c r="F7" s="170"/>
      <c r="G7" s="171"/>
      <c r="H7" s="171"/>
      <c r="I7" s="171"/>
      <c r="J7" s="171"/>
      <c r="K7" s="169"/>
      <c r="L7" s="172"/>
    </row>
    <row r="8" spans="1:16" ht="17.25" thickTop="1" x14ac:dyDescent="0.25">
      <c r="A8" s="14" t="s">
        <v>68</v>
      </c>
      <c r="B8" s="15" t="s">
        <v>69</v>
      </c>
      <c r="C8" s="16"/>
      <c r="D8" s="17"/>
      <c r="E8" s="17"/>
      <c r="F8" s="17"/>
      <c r="G8" s="18"/>
      <c r="H8" s="19"/>
      <c r="I8" s="18"/>
      <c r="J8" s="20"/>
      <c r="K8" s="21"/>
      <c r="L8" s="22"/>
      <c r="N8" t="s">
        <v>157</v>
      </c>
    </row>
    <row r="9" spans="1:16" ht="16.5" x14ac:dyDescent="0.25">
      <c r="A9" s="23"/>
      <c r="B9" s="24">
        <v>1</v>
      </c>
      <c r="C9" s="25" t="s">
        <v>70</v>
      </c>
      <c r="D9" s="26"/>
      <c r="E9" s="26"/>
      <c r="F9" s="26"/>
      <c r="G9" s="27"/>
      <c r="H9" s="28"/>
      <c r="I9" s="27"/>
      <c r="J9" s="29"/>
      <c r="K9" s="27"/>
      <c r="L9" s="30"/>
      <c r="N9">
        <v>2022</v>
      </c>
      <c r="O9" s="106">
        <v>2922773</v>
      </c>
    </row>
    <row r="10" spans="1:16" ht="16.5" x14ac:dyDescent="0.25">
      <c r="A10" s="23"/>
      <c r="B10" s="27"/>
      <c r="C10" s="31" t="s">
        <v>71</v>
      </c>
      <c r="D10" s="26">
        <v>1</v>
      </c>
      <c r="E10" s="26" t="s">
        <v>72</v>
      </c>
      <c r="F10" s="26">
        <v>24</v>
      </c>
      <c r="G10" s="32">
        <f>P12</f>
        <v>2383685.7874812502</v>
      </c>
      <c r="H10" s="33">
        <f>+G10*D10</f>
        <v>2383685.7874812502</v>
      </c>
      <c r="I10" s="32">
        <f>+H10*12</f>
        <v>28604229.449775003</v>
      </c>
      <c r="J10" s="29"/>
      <c r="K10" s="27" t="s">
        <v>73</v>
      </c>
      <c r="L10" s="30"/>
      <c r="N10">
        <v>2023</v>
      </c>
      <c r="O10" s="107">
        <f>O9*108.5%</f>
        <v>3171208.7050000001</v>
      </c>
    </row>
    <row r="11" spans="1:16" ht="16.5" x14ac:dyDescent="0.25">
      <c r="A11" s="23"/>
      <c r="B11" s="27"/>
      <c r="C11" s="34" t="s">
        <v>74</v>
      </c>
      <c r="D11" s="35">
        <v>1</v>
      </c>
      <c r="E11" s="35" t="s">
        <v>72</v>
      </c>
      <c r="F11" s="35">
        <v>24</v>
      </c>
      <c r="G11" s="36">
        <f>P13</f>
        <v>794561.92916041671</v>
      </c>
      <c r="H11" s="37">
        <f>+G11*D11</f>
        <v>794561.92916041671</v>
      </c>
      <c r="I11" s="36">
        <f>+H11*12</f>
        <v>9534743.149925001</v>
      </c>
      <c r="J11" s="34" t="s">
        <v>75</v>
      </c>
      <c r="K11" s="27" t="s">
        <v>76</v>
      </c>
      <c r="L11" s="30"/>
      <c r="N11">
        <v>2024</v>
      </c>
      <c r="O11" s="107">
        <f>O10*108.5%</f>
        <v>3440761.444925</v>
      </c>
    </row>
    <row r="12" spans="1:16" ht="16.5" x14ac:dyDescent="0.25">
      <c r="A12" s="23"/>
      <c r="B12" s="27"/>
      <c r="C12" s="31"/>
      <c r="D12" s="26"/>
      <c r="E12" s="26"/>
      <c r="F12" s="26"/>
      <c r="G12" s="38">
        <f>SUM(G10:G11)</f>
        <v>3178247.7166416668</v>
      </c>
      <c r="H12" s="38">
        <f>SUM(H10:H11)</f>
        <v>3178247.7166416668</v>
      </c>
      <c r="I12" s="38">
        <f>SUM(I10:I11)</f>
        <v>38138972.599700004</v>
      </c>
      <c r="J12" s="29"/>
      <c r="K12" s="27"/>
      <c r="L12" s="30" t="s">
        <v>77</v>
      </c>
      <c r="N12" t="s">
        <v>156</v>
      </c>
      <c r="O12" s="108">
        <f>AVERAGE(O9:O11)</f>
        <v>3178247.7166416668</v>
      </c>
      <c r="P12" s="106">
        <f>O12*75%</f>
        <v>2383685.7874812502</v>
      </c>
    </row>
    <row r="13" spans="1:16" ht="16.5" x14ac:dyDescent="0.25">
      <c r="A13" s="39"/>
      <c r="B13" s="24">
        <v>2</v>
      </c>
      <c r="C13" s="25" t="s">
        <v>78</v>
      </c>
      <c r="D13" s="40"/>
      <c r="E13" s="40"/>
      <c r="F13" s="40"/>
      <c r="G13" s="38"/>
      <c r="H13" s="41"/>
      <c r="I13" s="38"/>
      <c r="J13" s="42"/>
      <c r="K13" s="27"/>
      <c r="L13" s="30"/>
      <c r="P13" s="106">
        <f>O12*25%</f>
        <v>794561.92916041671</v>
      </c>
    </row>
    <row r="14" spans="1:16" ht="16.5" x14ac:dyDescent="0.25">
      <c r="A14" s="23"/>
      <c r="B14" s="27"/>
      <c r="C14" s="31" t="s">
        <v>82</v>
      </c>
      <c r="D14" s="26">
        <v>1</v>
      </c>
      <c r="E14" s="26" t="s">
        <v>72</v>
      </c>
      <c r="F14" s="26">
        <v>24</v>
      </c>
      <c r="G14" s="32">
        <v>17500</v>
      </c>
      <c r="H14" s="33">
        <f>D14*F14*G14</f>
        <v>420000</v>
      </c>
      <c r="I14" s="32">
        <f>+H14*12</f>
        <v>5040000</v>
      </c>
      <c r="J14" s="29"/>
      <c r="K14" s="27"/>
      <c r="L14" s="30"/>
    </row>
    <row r="15" spans="1:16" ht="16.5" x14ac:dyDescent="0.25">
      <c r="A15" s="23"/>
      <c r="B15" s="57"/>
      <c r="C15" s="34" t="s">
        <v>79</v>
      </c>
      <c r="D15" s="35">
        <v>1</v>
      </c>
      <c r="E15" s="35" t="s">
        <v>72</v>
      </c>
      <c r="F15" s="35">
        <v>24</v>
      </c>
      <c r="G15" s="36">
        <v>200000</v>
      </c>
      <c r="H15" s="37">
        <f>+G15*D15</f>
        <v>200000</v>
      </c>
      <c r="I15" s="36">
        <f>+H15*12</f>
        <v>2400000</v>
      </c>
      <c r="J15" s="34" t="s">
        <v>75</v>
      </c>
      <c r="K15" s="27"/>
      <c r="L15" s="30"/>
    </row>
    <row r="16" spans="1:16" ht="16.5" x14ac:dyDescent="0.25">
      <c r="A16" s="23"/>
      <c r="B16" s="27"/>
      <c r="C16" s="44"/>
      <c r="D16" s="40"/>
      <c r="E16" s="40"/>
      <c r="F16" s="40"/>
      <c r="G16" s="38">
        <f>SUM(G14:G15)</f>
        <v>217500</v>
      </c>
      <c r="H16" s="38">
        <f>SUM(H14:H15)</f>
        <v>620000</v>
      </c>
      <c r="I16" s="38">
        <f>SUM(I14:I15)</f>
        <v>7440000</v>
      </c>
      <c r="J16" s="29"/>
      <c r="K16" s="27"/>
      <c r="L16" s="30" t="s">
        <v>80</v>
      </c>
    </row>
    <row r="17" spans="1:16" ht="16.5" x14ac:dyDescent="0.25">
      <c r="A17" s="23"/>
      <c r="B17" s="27"/>
      <c r="C17" s="44"/>
      <c r="D17" s="40"/>
      <c r="E17" s="40"/>
      <c r="F17" s="40"/>
      <c r="G17" s="38"/>
      <c r="H17" s="38"/>
      <c r="I17" s="38"/>
      <c r="J17" s="29"/>
      <c r="K17" s="27"/>
      <c r="L17" s="30"/>
    </row>
    <row r="18" spans="1:16" ht="16.5" x14ac:dyDescent="0.25">
      <c r="A18" s="14"/>
      <c r="B18" s="15" t="s">
        <v>84</v>
      </c>
      <c r="C18" s="16"/>
      <c r="D18" s="40"/>
      <c r="E18" s="40"/>
      <c r="F18" s="40"/>
      <c r="G18" s="38"/>
      <c r="H18" s="38"/>
      <c r="I18" s="38"/>
      <c r="J18" s="29"/>
      <c r="K18" s="27"/>
      <c r="L18" s="30"/>
    </row>
    <row r="19" spans="1:16" ht="16.5" x14ac:dyDescent="0.25">
      <c r="A19" s="23"/>
      <c r="B19" s="24">
        <v>1</v>
      </c>
      <c r="C19" s="25" t="s">
        <v>70</v>
      </c>
      <c r="D19" s="26"/>
      <c r="E19" s="26"/>
      <c r="F19" s="26"/>
      <c r="G19" s="27"/>
      <c r="H19" s="28"/>
      <c r="I19" s="27"/>
      <c r="J19" s="29"/>
      <c r="K19" s="27"/>
      <c r="L19" s="30"/>
    </row>
    <row r="20" spans="1:16" ht="16.5" x14ac:dyDescent="0.25">
      <c r="A20" s="23"/>
      <c r="B20" s="27"/>
      <c r="C20" s="31" t="s">
        <v>71</v>
      </c>
      <c r="D20" s="116" t="e">
        <f>#REF!</f>
        <v>#REF!</v>
      </c>
      <c r="E20" s="26" t="s">
        <v>72</v>
      </c>
      <c r="F20" s="26">
        <v>24</v>
      </c>
      <c r="G20" s="32">
        <f>G10</f>
        <v>2383685.7874812502</v>
      </c>
      <c r="H20" s="33" t="e">
        <f>+G20*D20</f>
        <v>#REF!</v>
      </c>
      <c r="I20" s="32" t="e">
        <f>+H20*12</f>
        <v>#REF!</v>
      </c>
      <c r="J20" s="29"/>
      <c r="K20" s="27" t="s">
        <v>73</v>
      </c>
      <c r="L20" s="30"/>
    </row>
    <row r="21" spans="1:16" ht="16.5" x14ac:dyDescent="0.25">
      <c r="A21" s="23"/>
      <c r="B21" s="27"/>
      <c r="C21" s="34" t="s">
        <v>74</v>
      </c>
      <c r="D21" s="35" t="e">
        <f>D20</f>
        <v>#REF!</v>
      </c>
      <c r="E21" s="35" t="s">
        <v>72</v>
      </c>
      <c r="F21" s="35">
        <v>24</v>
      </c>
      <c r="G21" s="36">
        <f>G11</f>
        <v>794561.92916041671</v>
      </c>
      <c r="H21" s="37" t="e">
        <f>+G21*D21</f>
        <v>#REF!</v>
      </c>
      <c r="I21" s="36" t="e">
        <f>+H21*12</f>
        <v>#REF!</v>
      </c>
      <c r="J21" s="34" t="s">
        <v>75</v>
      </c>
      <c r="K21" s="27" t="s">
        <v>76</v>
      </c>
      <c r="L21" s="30"/>
    </row>
    <row r="22" spans="1:16" ht="16.5" x14ac:dyDescent="0.25">
      <c r="A22" s="23"/>
      <c r="B22" s="27"/>
      <c r="C22" s="31"/>
      <c r="D22" s="26"/>
      <c r="E22" s="26"/>
      <c r="F22" s="26"/>
      <c r="G22" s="38">
        <f>SUM(G20:G21)</f>
        <v>3178247.7166416668</v>
      </c>
      <c r="H22" s="38" t="e">
        <f>SUM(H20:H21)</f>
        <v>#REF!</v>
      </c>
      <c r="I22" s="38" t="e">
        <f>SUM(I20:I21)</f>
        <v>#REF!</v>
      </c>
      <c r="J22" s="29"/>
      <c r="K22" s="27"/>
      <c r="L22" s="30" t="s">
        <v>83</v>
      </c>
    </row>
    <row r="23" spans="1:16" ht="16.5" x14ac:dyDescent="0.25">
      <c r="A23" s="39"/>
      <c r="B23" s="24">
        <v>2</v>
      </c>
      <c r="C23" s="25" t="s">
        <v>78</v>
      </c>
      <c r="D23" s="40"/>
      <c r="E23" s="40"/>
      <c r="F23" s="40"/>
      <c r="G23" s="38"/>
      <c r="H23" s="41"/>
      <c r="I23" s="38"/>
      <c r="J23" s="25"/>
      <c r="K23" s="27"/>
      <c r="L23" s="30"/>
      <c r="P23" s="106">
        <f>O22*25%</f>
        <v>0</v>
      </c>
    </row>
    <row r="24" spans="1:16" ht="16.5" x14ac:dyDescent="0.25">
      <c r="A24" s="23"/>
      <c r="B24" s="57"/>
      <c r="C24" s="34" t="s">
        <v>82</v>
      </c>
      <c r="D24" s="35">
        <v>5</v>
      </c>
      <c r="E24" s="35" t="s">
        <v>72</v>
      </c>
      <c r="F24" s="35">
        <v>24</v>
      </c>
      <c r="G24" s="36">
        <v>17500</v>
      </c>
      <c r="H24" s="37">
        <f>D24*F24*G24</f>
        <v>2100000</v>
      </c>
      <c r="I24" s="36">
        <f>+H24*12</f>
        <v>25200000</v>
      </c>
      <c r="J24" s="34"/>
      <c r="K24" s="27"/>
      <c r="L24" s="30"/>
    </row>
    <row r="25" spans="1:16" ht="16.5" x14ac:dyDescent="0.25">
      <c r="A25" s="23"/>
      <c r="B25" s="27"/>
      <c r="C25" s="44"/>
      <c r="D25" s="40"/>
      <c r="E25" s="40"/>
      <c r="F25" s="40"/>
      <c r="G25" s="38">
        <f>SUM(G24:G24)</f>
        <v>17500</v>
      </c>
      <c r="H25" s="38">
        <f>SUM(H24:H24)</f>
        <v>2100000</v>
      </c>
      <c r="I25" s="38">
        <f>SUM(I24:I24)</f>
        <v>25200000</v>
      </c>
      <c r="J25" s="29"/>
      <c r="K25" s="27"/>
      <c r="L25" s="30" t="s">
        <v>85</v>
      </c>
    </row>
    <row r="26" spans="1:16" ht="16.5" x14ac:dyDescent="0.25">
      <c r="A26" s="23"/>
      <c r="B26" s="27"/>
      <c r="C26" s="31"/>
      <c r="D26" s="26"/>
      <c r="E26" s="26"/>
      <c r="F26" s="26"/>
      <c r="G26" s="38"/>
      <c r="H26" s="41"/>
      <c r="I26" s="38"/>
      <c r="J26" s="46"/>
      <c r="K26" s="27"/>
      <c r="L26" s="47"/>
    </row>
    <row r="27" spans="1:16" ht="16.5" x14ac:dyDescent="0.25">
      <c r="A27" s="39"/>
      <c r="B27" s="24" t="s">
        <v>87</v>
      </c>
      <c r="C27" s="25" t="s">
        <v>88</v>
      </c>
      <c r="D27" s="40"/>
      <c r="E27" s="40"/>
      <c r="F27" s="40"/>
      <c r="G27" s="38"/>
      <c r="H27" s="41"/>
      <c r="I27" s="38"/>
      <c r="J27" s="42"/>
      <c r="K27" s="27"/>
      <c r="L27" s="30"/>
    </row>
    <row r="28" spans="1:16" ht="16.5" x14ac:dyDescent="0.25">
      <c r="A28" s="23"/>
      <c r="B28" s="27"/>
      <c r="C28" s="31" t="s">
        <v>89</v>
      </c>
      <c r="D28" s="26" t="e">
        <f>D20+D15</f>
        <v>#REF!</v>
      </c>
      <c r="E28" s="26" t="s">
        <v>72</v>
      </c>
      <c r="F28" s="26"/>
      <c r="G28" s="32">
        <f>+G12*3.7%</f>
        <v>117595.16551574168</v>
      </c>
      <c r="H28" s="33" t="e">
        <f>+G28*D28</f>
        <v>#REF!</v>
      </c>
      <c r="I28" s="32" t="e">
        <f>+H28*12</f>
        <v>#REF!</v>
      </c>
      <c r="J28" s="29"/>
      <c r="K28" s="27" t="s">
        <v>90</v>
      </c>
      <c r="L28" s="30"/>
      <c r="N28" t="s">
        <v>172</v>
      </c>
    </row>
    <row r="29" spans="1:16" ht="16.5" x14ac:dyDescent="0.25">
      <c r="A29" s="23"/>
      <c r="B29" s="27"/>
      <c r="C29" s="31" t="s">
        <v>91</v>
      </c>
      <c r="D29" s="26" t="e">
        <f>D28</f>
        <v>#REF!</v>
      </c>
      <c r="E29" s="26" t="s">
        <v>72</v>
      </c>
      <c r="F29" s="26"/>
      <c r="G29" s="32">
        <f>+G12*1.74%</f>
        <v>55301.510269564998</v>
      </c>
      <c r="H29" s="33" t="e">
        <f>+G29*D29</f>
        <v>#REF!</v>
      </c>
      <c r="I29" s="32" t="e">
        <f>+H29*12</f>
        <v>#REF!</v>
      </c>
      <c r="J29" s="29"/>
      <c r="K29" s="27"/>
      <c r="L29" s="30"/>
    </row>
    <row r="30" spans="1:16" ht="16.5" x14ac:dyDescent="0.25">
      <c r="A30" s="23"/>
      <c r="B30" s="27"/>
      <c r="C30" s="31" t="s">
        <v>92</v>
      </c>
      <c r="D30" s="26" t="e">
        <f>D29</f>
        <v>#REF!</v>
      </c>
      <c r="E30" s="26" t="s">
        <v>72</v>
      </c>
      <c r="F30" s="26"/>
      <c r="G30" s="32">
        <f>+G12*4%</f>
        <v>127129.90866566668</v>
      </c>
      <c r="H30" s="33" t="e">
        <f>+G30*D30</f>
        <v>#REF!</v>
      </c>
      <c r="I30" s="32" t="e">
        <f>+H30*12</f>
        <v>#REF!</v>
      </c>
      <c r="J30" s="29"/>
      <c r="K30" s="27"/>
      <c r="L30" s="30"/>
    </row>
    <row r="31" spans="1:16" ht="16.5" x14ac:dyDescent="0.25">
      <c r="A31" s="23"/>
      <c r="B31" s="27"/>
      <c r="C31" s="31" t="s">
        <v>93</v>
      </c>
      <c r="D31" s="26" t="e">
        <f>D30</f>
        <v>#REF!</v>
      </c>
      <c r="E31" s="26" t="s">
        <v>72</v>
      </c>
      <c r="F31" s="26"/>
      <c r="G31" s="32">
        <f>+G12*0.3%</f>
        <v>9534.7431499250015</v>
      </c>
      <c r="H31" s="33" t="e">
        <f>+G31*D31</f>
        <v>#REF!</v>
      </c>
      <c r="I31" s="32" t="e">
        <f>+H31*12</f>
        <v>#REF!</v>
      </c>
      <c r="J31" s="31"/>
      <c r="K31" s="48"/>
      <c r="L31" s="30"/>
    </row>
    <row r="32" spans="1:16" ht="16.5" x14ac:dyDescent="0.25">
      <c r="A32" s="23"/>
      <c r="B32" s="57"/>
      <c r="C32" s="34" t="s">
        <v>94</v>
      </c>
      <c r="D32" s="35" t="e">
        <f>D31</f>
        <v>#REF!</v>
      </c>
      <c r="E32" s="35" t="s">
        <v>72</v>
      </c>
      <c r="F32" s="35"/>
      <c r="G32" s="115">
        <f>+G12*2%</f>
        <v>63564.954332833338</v>
      </c>
      <c r="H32" s="37" t="e">
        <f>+G32*D32</f>
        <v>#REF!</v>
      </c>
      <c r="I32" s="36" t="e">
        <f>+H32*12</f>
        <v>#REF!</v>
      </c>
      <c r="J32" s="49" t="s">
        <v>75</v>
      </c>
      <c r="K32" s="48"/>
      <c r="L32" s="30"/>
    </row>
    <row r="33" spans="1:15" ht="16.5" x14ac:dyDescent="0.25">
      <c r="A33" s="23"/>
      <c r="B33" s="27"/>
      <c r="C33" s="29"/>
      <c r="D33" s="40"/>
      <c r="E33" s="40"/>
      <c r="F33" s="40"/>
      <c r="G33" s="38">
        <f>SUM(G28:G32)</f>
        <v>373126.28193373169</v>
      </c>
      <c r="H33" s="38" t="e">
        <f>SUM(H28:H32)</f>
        <v>#REF!</v>
      </c>
      <c r="I33" s="38" t="e">
        <f>SUM(I28:I32)</f>
        <v>#REF!</v>
      </c>
      <c r="J33" s="29"/>
      <c r="K33" s="32"/>
      <c r="L33" s="50" t="s">
        <v>100</v>
      </c>
    </row>
    <row r="34" spans="1:15" ht="16.5" x14ac:dyDescent="0.25">
      <c r="A34" s="23"/>
      <c r="B34" s="27"/>
      <c r="C34" s="31"/>
      <c r="D34" s="40"/>
      <c r="E34" s="40"/>
      <c r="F34" s="40"/>
      <c r="G34" s="38"/>
      <c r="H34" s="38"/>
      <c r="I34" s="38"/>
      <c r="J34" s="29"/>
      <c r="K34" s="27"/>
      <c r="L34" s="50"/>
    </row>
    <row r="35" spans="1:15" ht="16.5" x14ac:dyDescent="0.25">
      <c r="A35" s="14" t="s">
        <v>95</v>
      </c>
      <c r="B35" s="24" t="s">
        <v>96</v>
      </c>
      <c r="C35" s="51"/>
      <c r="D35" s="40"/>
      <c r="E35" s="40"/>
      <c r="F35" s="40"/>
      <c r="G35" s="38"/>
      <c r="H35" s="41"/>
      <c r="I35" s="38"/>
      <c r="J35" s="42"/>
      <c r="K35" s="27"/>
      <c r="L35" s="30"/>
    </row>
    <row r="36" spans="1:15" ht="16.5" x14ac:dyDescent="0.25">
      <c r="A36" s="39"/>
      <c r="B36" s="24">
        <v>1</v>
      </c>
      <c r="C36" s="25" t="s">
        <v>97</v>
      </c>
      <c r="D36" s="40"/>
      <c r="E36" s="40"/>
      <c r="F36" s="40"/>
      <c r="G36" s="38"/>
      <c r="H36" s="41"/>
      <c r="I36" s="38"/>
      <c r="J36" s="42"/>
      <c r="K36" s="27"/>
      <c r="L36" s="30"/>
    </row>
    <row r="37" spans="1:15" ht="20.25" x14ac:dyDescent="0.25">
      <c r="A37" s="23"/>
      <c r="B37" s="52"/>
      <c r="C37" s="31" t="s">
        <v>194</v>
      </c>
      <c r="D37" s="26" t="e">
        <f>$D$30</f>
        <v>#REF!</v>
      </c>
      <c r="E37" s="26" t="s">
        <v>72</v>
      </c>
      <c r="F37" s="26"/>
      <c r="G37" s="32">
        <f>1*350000/12*110%</f>
        <v>32083.333333333336</v>
      </c>
      <c r="H37" s="33" t="e">
        <f>+G37*D37</f>
        <v>#REF!</v>
      </c>
      <c r="I37" s="32" t="e">
        <f>+H37*12</f>
        <v>#REF!</v>
      </c>
      <c r="J37" s="29"/>
      <c r="K37" s="27"/>
      <c r="L37" s="30"/>
      <c r="N37" s="106"/>
      <c r="O37" s="109"/>
    </row>
    <row r="38" spans="1:15" ht="16.5" x14ac:dyDescent="0.25">
      <c r="A38" s="23"/>
      <c r="B38" s="24"/>
      <c r="C38" s="31" t="s">
        <v>193</v>
      </c>
      <c r="D38" s="26" t="e">
        <f>$D$30</f>
        <v>#REF!</v>
      </c>
      <c r="E38" s="26" t="s">
        <v>72</v>
      </c>
      <c r="F38" s="26"/>
      <c r="G38" s="33">
        <f>200000/12*110%</f>
        <v>18333.333333333336</v>
      </c>
      <c r="H38" s="33" t="e">
        <f>+G38*D38</f>
        <v>#REF!</v>
      </c>
      <c r="I38" s="32" t="e">
        <f>+H38*12</f>
        <v>#REF!</v>
      </c>
      <c r="J38" s="29"/>
      <c r="K38" s="27"/>
      <c r="L38" s="30"/>
      <c r="N38" s="106"/>
      <c r="O38" s="109"/>
    </row>
    <row r="39" spans="1:15" ht="16.5" x14ac:dyDescent="0.25">
      <c r="A39" s="23"/>
      <c r="B39" s="24"/>
      <c r="C39" s="31" t="s">
        <v>195</v>
      </c>
      <c r="D39" s="26" t="e">
        <f>$D$30</f>
        <v>#REF!</v>
      </c>
      <c r="E39" s="26" t="s">
        <v>72</v>
      </c>
      <c r="F39" s="26"/>
      <c r="G39" s="33">
        <f>60000/12*110%</f>
        <v>5500</v>
      </c>
      <c r="H39" s="33" t="e">
        <f>+G39*D39</f>
        <v>#REF!</v>
      </c>
      <c r="I39" s="32" t="e">
        <f>+H39*12</f>
        <v>#REF!</v>
      </c>
      <c r="J39" s="29"/>
      <c r="K39" s="27"/>
      <c r="L39" s="30"/>
      <c r="N39" s="106"/>
    </row>
    <row r="40" spans="1:15" ht="16.5" x14ac:dyDescent="0.25">
      <c r="A40" s="23"/>
      <c r="B40" s="178"/>
      <c r="C40" s="34" t="s">
        <v>98</v>
      </c>
      <c r="D40" s="35" t="e">
        <f>$D$30</f>
        <v>#REF!</v>
      </c>
      <c r="E40" s="35" t="s">
        <v>72</v>
      </c>
      <c r="F40" s="35"/>
      <c r="G40" s="37">
        <f>2000/12*110%*4</f>
        <v>733.33333333333337</v>
      </c>
      <c r="H40" s="37" t="e">
        <f>+G40*D40</f>
        <v>#REF!</v>
      </c>
      <c r="I40" s="36" t="e">
        <f>+H40*12</f>
        <v>#REF!</v>
      </c>
      <c r="J40" s="34" t="s">
        <v>75</v>
      </c>
      <c r="K40" s="27"/>
      <c r="L40" s="30"/>
      <c r="N40" s="106"/>
    </row>
    <row r="41" spans="1:15" ht="16.5" hidden="1" x14ac:dyDescent="0.25">
      <c r="A41" s="23"/>
      <c r="B41" s="24"/>
      <c r="C41" s="34" t="s">
        <v>99</v>
      </c>
      <c r="D41" s="26" t="e">
        <f>$D$30</f>
        <v>#REF!</v>
      </c>
      <c r="E41" s="35" t="s">
        <v>72</v>
      </c>
      <c r="F41" s="35"/>
      <c r="G41" s="37">
        <v>0</v>
      </c>
      <c r="H41" s="37" t="e">
        <f>+G41*D41</f>
        <v>#REF!</v>
      </c>
      <c r="I41" s="36" t="e">
        <f>+H41*12</f>
        <v>#REF!</v>
      </c>
      <c r="J41" s="49" t="s">
        <v>75</v>
      </c>
      <c r="K41" s="27"/>
      <c r="L41" s="30"/>
    </row>
    <row r="42" spans="1:15" ht="16.5" x14ac:dyDescent="0.25">
      <c r="A42" s="23"/>
      <c r="B42" s="48"/>
      <c r="C42" s="44"/>
      <c r="D42" s="26"/>
      <c r="E42" s="26"/>
      <c r="F42" s="26"/>
      <c r="G42" s="38">
        <f>SUM(G37:G41)</f>
        <v>56650.000000000007</v>
      </c>
      <c r="H42" s="38" t="e">
        <f>SUM(H37:H41)</f>
        <v>#REF!</v>
      </c>
      <c r="I42" s="38" t="e">
        <f>SUM(I37:I41)</f>
        <v>#REF!</v>
      </c>
      <c r="J42" s="29"/>
      <c r="K42" s="27"/>
      <c r="L42" s="30" t="s">
        <v>86</v>
      </c>
    </row>
    <row r="43" spans="1:15" ht="16.5" x14ac:dyDescent="0.25">
      <c r="A43" s="29"/>
      <c r="B43" s="54"/>
      <c r="C43" s="55"/>
      <c r="D43" s="35"/>
      <c r="E43" s="35"/>
      <c r="F43" s="35"/>
      <c r="G43" s="56"/>
      <c r="H43" s="56"/>
      <c r="I43" s="56"/>
      <c r="J43" s="55"/>
      <c r="K43" s="57"/>
      <c r="L43" s="58"/>
    </row>
    <row r="44" spans="1:15" ht="16.5" x14ac:dyDescent="0.25">
      <c r="A44" s="29"/>
      <c r="B44" s="59">
        <v>2</v>
      </c>
      <c r="C44" s="25" t="s">
        <v>101</v>
      </c>
      <c r="D44" s="26"/>
      <c r="E44" s="26"/>
      <c r="F44" s="26"/>
      <c r="G44" s="38"/>
      <c r="H44" s="38"/>
      <c r="I44" s="38"/>
      <c r="J44" s="29"/>
      <c r="K44" s="27"/>
      <c r="L44" s="30"/>
      <c r="N44" t="s">
        <v>174</v>
      </c>
    </row>
    <row r="45" spans="1:15" ht="16.5" x14ac:dyDescent="0.3">
      <c r="A45" s="23"/>
      <c r="B45" s="48"/>
      <c r="C45" s="60" t="s">
        <v>196</v>
      </c>
      <c r="D45" s="61">
        <v>7</v>
      </c>
      <c r="E45" s="61" t="s">
        <v>102</v>
      </c>
      <c r="F45" s="26"/>
      <c r="G45" s="33">
        <f>(1500000/12)+13889</f>
        <v>138889</v>
      </c>
      <c r="H45" s="32">
        <f>+G45*D45</f>
        <v>972223</v>
      </c>
      <c r="I45" s="32">
        <f>+H45*12</f>
        <v>11666676</v>
      </c>
      <c r="J45" s="29"/>
      <c r="K45" s="250" t="s">
        <v>204</v>
      </c>
      <c r="L45" s="251"/>
    </row>
    <row r="46" spans="1:15" ht="16.5" x14ac:dyDescent="0.3">
      <c r="A46" s="23"/>
      <c r="B46" s="48"/>
      <c r="C46" s="60" t="s">
        <v>103</v>
      </c>
      <c r="D46" s="61">
        <v>7</v>
      </c>
      <c r="E46" s="61" t="s">
        <v>104</v>
      </c>
      <c r="F46" s="26"/>
      <c r="G46" s="33">
        <f>(150000/12)</f>
        <v>12500</v>
      </c>
      <c r="H46" s="32">
        <f>G46*D46</f>
        <v>87500</v>
      </c>
      <c r="I46" s="32">
        <f>H46*12</f>
        <v>1050000</v>
      </c>
      <c r="J46" s="29"/>
      <c r="K46" s="27"/>
      <c r="L46" s="30"/>
    </row>
    <row r="47" spans="1:15" ht="16.5" x14ac:dyDescent="0.3">
      <c r="A47" s="23"/>
      <c r="B47" s="48"/>
      <c r="C47" s="60" t="s">
        <v>105</v>
      </c>
      <c r="D47" s="61">
        <v>4</v>
      </c>
      <c r="E47" s="61" t="s">
        <v>104</v>
      </c>
      <c r="F47" s="61"/>
      <c r="G47" s="33">
        <f>60000/12</f>
        <v>5000</v>
      </c>
      <c r="H47" s="32">
        <f>G47*D47</f>
        <v>20000</v>
      </c>
      <c r="I47" s="32">
        <f>H47*12</f>
        <v>240000</v>
      </c>
      <c r="J47" s="29"/>
      <c r="K47" s="27"/>
      <c r="L47" s="30"/>
    </row>
    <row r="48" spans="1:15" ht="16.5" x14ac:dyDescent="0.3">
      <c r="A48" s="23"/>
      <c r="B48" s="48"/>
      <c r="C48" s="62" t="s">
        <v>106</v>
      </c>
      <c r="D48" s="63">
        <f>F10*5*4</f>
        <v>480</v>
      </c>
      <c r="E48" s="63" t="s">
        <v>107</v>
      </c>
      <c r="F48" s="63"/>
      <c r="G48" s="36">
        <v>7650</v>
      </c>
      <c r="H48" s="36">
        <f>+G48*D48</f>
        <v>3672000</v>
      </c>
      <c r="I48" s="36">
        <f>+H48*12</f>
        <v>44064000</v>
      </c>
      <c r="J48" s="34" t="s">
        <v>75</v>
      </c>
      <c r="K48" s="27"/>
      <c r="L48" s="30"/>
      <c r="N48">
        <f>5*24*3</f>
        <v>360</v>
      </c>
    </row>
    <row r="49" spans="1:15" ht="15" customHeight="1" x14ac:dyDescent="0.3">
      <c r="A49" s="23"/>
      <c r="B49" s="48"/>
      <c r="C49" s="64"/>
      <c r="D49" s="61"/>
      <c r="E49" s="61"/>
      <c r="F49" s="61"/>
      <c r="G49" s="38">
        <f>SUM(G45:G48)</f>
        <v>164039</v>
      </c>
      <c r="H49" s="38">
        <f>SUM(H45:H48)</f>
        <v>4751723</v>
      </c>
      <c r="I49" s="38">
        <f>SUM(I45:I48)</f>
        <v>57020676</v>
      </c>
      <c r="J49" s="29"/>
      <c r="K49" s="27"/>
      <c r="L49" s="30" t="s">
        <v>108</v>
      </c>
      <c r="O49">
        <f>H49*6</f>
        <v>28510338</v>
      </c>
    </row>
    <row r="50" spans="1:15" ht="17.25" thickBot="1" x14ac:dyDescent="0.3">
      <c r="A50" s="23"/>
      <c r="B50" s="65"/>
      <c r="C50" s="66"/>
      <c r="D50" s="67"/>
      <c r="E50" s="67"/>
      <c r="F50" s="67"/>
      <c r="G50" s="38"/>
      <c r="H50" s="38"/>
      <c r="I50" s="38"/>
      <c r="J50" s="29"/>
      <c r="K50" s="27"/>
      <c r="L50" s="30"/>
    </row>
    <row r="51" spans="1:15" ht="17.25" thickBot="1" x14ac:dyDescent="0.3">
      <c r="A51" s="245" t="s">
        <v>197</v>
      </c>
      <c r="B51" s="246"/>
      <c r="C51" s="246"/>
      <c r="D51" s="246"/>
      <c r="E51" s="246"/>
      <c r="F51" s="249"/>
      <c r="G51" s="68">
        <f>+G49+G42+G33+G22+G16+G12+G25</f>
        <v>7185310.7152170651</v>
      </c>
      <c r="H51" s="68" t="e">
        <f>+H49+H42+H33+H22+H16+H12+H25</f>
        <v>#REF!</v>
      </c>
      <c r="I51" s="68" t="e">
        <f>+I49+I42+I33+I22+I16+I12+I25</f>
        <v>#REF!</v>
      </c>
      <c r="J51" s="69"/>
      <c r="K51" s="70"/>
      <c r="L51" s="71" t="s">
        <v>111</v>
      </c>
      <c r="N51" t="e">
        <f>H51*6</f>
        <v>#REF!</v>
      </c>
    </row>
    <row r="52" spans="1:15" ht="16.5" x14ac:dyDescent="0.25">
      <c r="A52" s="39" t="s">
        <v>109</v>
      </c>
      <c r="B52" s="24" t="s">
        <v>110</v>
      </c>
      <c r="C52" s="72"/>
      <c r="D52" s="26"/>
      <c r="E52" s="26"/>
      <c r="F52" s="26"/>
      <c r="G52" s="32">
        <f>G51*10%</f>
        <v>718531.07152170653</v>
      </c>
      <c r="H52" s="32" t="e">
        <f>+H51*8%</f>
        <v>#REF!</v>
      </c>
      <c r="I52" s="32" t="e">
        <f>+I51*8%</f>
        <v>#REF!</v>
      </c>
      <c r="J52" s="29"/>
      <c r="K52" s="73"/>
      <c r="L52" s="30" t="s">
        <v>114</v>
      </c>
    </row>
    <row r="53" spans="1:15" ht="16.5" x14ac:dyDescent="0.25">
      <c r="A53" s="39" t="s">
        <v>112</v>
      </c>
      <c r="B53" s="24" t="s">
        <v>113</v>
      </c>
      <c r="C53" s="44"/>
      <c r="D53" s="26" t="e">
        <f>D28</f>
        <v>#REF!</v>
      </c>
      <c r="E53" s="26" t="s">
        <v>72</v>
      </c>
      <c r="F53" s="26"/>
      <c r="G53" s="32">
        <f>0.12*G12</f>
        <v>381389.725997</v>
      </c>
      <c r="H53" s="33" t="e">
        <f>G53*D53</f>
        <v>#REF!</v>
      </c>
      <c r="I53" s="32" t="e">
        <f>+H53*12</f>
        <v>#REF!</v>
      </c>
      <c r="J53" s="29"/>
      <c r="K53" s="27"/>
      <c r="L53" s="30" t="s">
        <v>119</v>
      </c>
    </row>
    <row r="54" spans="1:15" ht="17.25" thickBot="1" x14ac:dyDescent="0.3">
      <c r="A54" s="39" t="s">
        <v>115</v>
      </c>
      <c r="B54" s="15" t="s">
        <v>118</v>
      </c>
      <c r="C54" s="44"/>
      <c r="D54" s="26" t="e">
        <f>D30</f>
        <v>#REF!</v>
      </c>
      <c r="E54" s="26" t="s">
        <v>72</v>
      </c>
      <c r="F54" s="26"/>
      <c r="G54" s="32">
        <v>50000</v>
      </c>
      <c r="H54" s="33" t="e">
        <f>G54*D54</f>
        <v>#REF!</v>
      </c>
      <c r="I54" s="32" t="e">
        <f>+H54*12</f>
        <v>#REF!</v>
      </c>
      <c r="J54" s="29"/>
      <c r="K54" s="27"/>
      <c r="L54" s="30" t="s">
        <v>116</v>
      </c>
    </row>
    <row r="55" spans="1:15" ht="17.25" thickBot="1" x14ac:dyDescent="0.3">
      <c r="A55" s="245" t="s">
        <v>200</v>
      </c>
      <c r="B55" s="246"/>
      <c r="C55" s="246"/>
      <c r="D55" s="246"/>
      <c r="E55" s="246"/>
      <c r="F55" s="246"/>
      <c r="G55" s="246"/>
      <c r="H55" s="74" t="e">
        <f>SUM(H51:H54)</f>
        <v>#REF!</v>
      </c>
      <c r="I55" s="74" t="e">
        <f>SUM(I51:I54)</f>
        <v>#REF!</v>
      </c>
      <c r="J55" s="69"/>
      <c r="K55" s="75"/>
      <c r="L55" s="71" t="s">
        <v>121</v>
      </c>
    </row>
    <row r="56" spans="1:15" ht="18.75" thickBot="1" x14ac:dyDescent="0.3">
      <c r="A56" s="245" t="s">
        <v>199</v>
      </c>
      <c r="B56" s="246"/>
      <c r="C56" s="246"/>
      <c r="D56" s="246"/>
      <c r="E56" s="246"/>
      <c r="F56" s="246"/>
      <c r="G56" s="246"/>
      <c r="H56" s="246"/>
      <c r="I56" s="76" t="e">
        <f>#REF!</f>
        <v>#REF!</v>
      </c>
      <c r="J56" s="69" t="s">
        <v>123</v>
      </c>
      <c r="K56" s="77"/>
      <c r="L56" s="71"/>
    </row>
    <row r="57" spans="1:15" ht="16.5" thickBot="1" x14ac:dyDescent="0.3">
      <c r="A57" s="247" t="s">
        <v>122</v>
      </c>
      <c r="B57" s="248"/>
      <c r="C57" s="248"/>
      <c r="D57" s="248"/>
      <c r="E57" s="248"/>
      <c r="F57" s="248"/>
      <c r="G57" s="248"/>
      <c r="H57" s="248"/>
      <c r="I57" s="196" t="e">
        <f>I55/I56</f>
        <v>#REF!</v>
      </c>
      <c r="J57" s="78"/>
      <c r="K57" s="79"/>
      <c r="L57" s="80"/>
    </row>
    <row r="59" spans="1:15" ht="16.5" thickBot="1" x14ac:dyDescent="0.3"/>
    <row r="60" spans="1:15" x14ac:dyDescent="0.25">
      <c r="A60" s="227" t="s">
        <v>58</v>
      </c>
      <c r="B60" s="229" t="s">
        <v>59</v>
      </c>
      <c r="C60" s="230"/>
      <c r="D60" s="233" t="s">
        <v>60</v>
      </c>
      <c r="E60" s="233" t="s">
        <v>61</v>
      </c>
      <c r="F60" s="235" t="s">
        <v>62</v>
      </c>
      <c r="G60" s="237" t="s">
        <v>63</v>
      </c>
      <c r="H60" s="237" t="s">
        <v>64</v>
      </c>
      <c r="I60" s="239" t="s">
        <v>192</v>
      </c>
      <c r="J60" s="240"/>
      <c r="K60" s="229" t="s">
        <v>66</v>
      </c>
      <c r="L60" s="243"/>
    </row>
    <row r="61" spans="1:15" ht="16.5" thickBot="1" x14ac:dyDescent="0.3">
      <c r="A61" s="228"/>
      <c r="B61" s="231"/>
      <c r="C61" s="232"/>
      <c r="D61" s="234"/>
      <c r="E61" s="234"/>
      <c r="F61" s="236"/>
      <c r="G61" s="238"/>
      <c r="H61" s="238"/>
      <c r="I61" s="241"/>
      <c r="J61" s="242"/>
      <c r="K61" s="231"/>
      <c r="L61" s="244"/>
    </row>
    <row r="62" spans="1:15" ht="18" thickTop="1" thickBot="1" x14ac:dyDescent="0.3">
      <c r="A62" s="173" t="s">
        <v>124</v>
      </c>
      <c r="B62" s="173"/>
      <c r="C62" s="174"/>
      <c r="D62" s="175"/>
      <c r="E62" s="175"/>
      <c r="F62" s="175"/>
      <c r="G62" s="176"/>
      <c r="H62" s="176"/>
      <c r="I62" s="176"/>
      <c r="J62" s="176"/>
      <c r="K62" s="174"/>
      <c r="L62" s="177"/>
    </row>
    <row r="63" spans="1:15" ht="17.25" thickTop="1" x14ac:dyDescent="0.25">
      <c r="A63" s="14" t="s">
        <v>68</v>
      </c>
      <c r="B63" s="15" t="s">
        <v>125</v>
      </c>
      <c r="C63" s="16"/>
      <c r="D63" s="17"/>
      <c r="E63" s="17"/>
      <c r="F63" s="17"/>
      <c r="G63" s="18"/>
      <c r="H63" s="19"/>
      <c r="I63" s="18"/>
      <c r="J63" s="20"/>
      <c r="K63" s="21"/>
      <c r="L63" s="22"/>
    </row>
    <row r="64" spans="1:15" ht="16.5" x14ac:dyDescent="0.25">
      <c r="A64" s="23"/>
      <c r="B64" s="24">
        <v>1</v>
      </c>
      <c r="C64" s="25" t="s">
        <v>70</v>
      </c>
      <c r="D64" s="26"/>
      <c r="E64" s="26"/>
      <c r="F64" s="26"/>
      <c r="G64" s="27"/>
      <c r="H64" s="28"/>
      <c r="I64" s="27"/>
      <c r="J64" s="29"/>
      <c r="K64" s="27"/>
      <c r="L64" s="30"/>
    </row>
    <row r="65" spans="1:12" ht="16.5" x14ac:dyDescent="0.25">
      <c r="A65" s="23"/>
      <c r="B65" s="27"/>
      <c r="C65" s="31" t="s">
        <v>71</v>
      </c>
      <c r="D65" s="26">
        <v>5</v>
      </c>
      <c r="E65" s="26" t="s">
        <v>72</v>
      </c>
      <c r="F65" s="26">
        <v>24</v>
      </c>
      <c r="G65" s="32">
        <f>G20</f>
        <v>2383685.7874812502</v>
      </c>
      <c r="H65" s="33">
        <f>+G65*D65</f>
        <v>11918428.937406251</v>
      </c>
      <c r="I65" s="32">
        <f>+H65*12</f>
        <v>143021147.24887502</v>
      </c>
      <c r="J65" s="29"/>
      <c r="K65" s="27" t="s">
        <v>73</v>
      </c>
      <c r="L65" s="30"/>
    </row>
    <row r="66" spans="1:12" ht="16.5" x14ac:dyDescent="0.25">
      <c r="A66" s="23"/>
      <c r="B66" s="27"/>
      <c r="C66" s="34" t="s">
        <v>74</v>
      </c>
      <c r="D66" s="35">
        <v>5</v>
      </c>
      <c r="E66" s="35" t="s">
        <v>72</v>
      </c>
      <c r="F66" s="35">
        <v>24</v>
      </c>
      <c r="G66" s="36">
        <f>G21</f>
        <v>794561.92916041671</v>
      </c>
      <c r="H66" s="37">
        <f>+G66*D66</f>
        <v>3972809.6458020834</v>
      </c>
      <c r="I66" s="36">
        <f>+H66*12</f>
        <v>47673715.749624997</v>
      </c>
      <c r="J66" s="34" t="s">
        <v>75</v>
      </c>
      <c r="K66" s="27" t="s">
        <v>76</v>
      </c>
      <c r="L66" s="30"/>
    </row>
    <row r="67" spans="1:12" ht="16.5" x14ac:dyDescent="0.25">
      <c r="A67" s="23"/>
      <c r="B67" s="27"/>
      <c r="C67" s="31"/>
      <c r="D67" s="26"/>
      <c r="E67" s="26"/>
      <c r="F67" s="26"/>
      <c r="G67" s="38">
        <f>SUM(G65:G66)</f>
        <v>3178247.7166416668</v>
      </c>
      <c r="H67" s="38">
        <f>SUM(H65:H66)</f>
        <v>15891238.583208334</v>
      </c>
      <c r="I67" s="38">
        <f>SUM(I65:I66)</f>
        <v>190694862.99850002</v>
      </c>
      <c r="J67" s="29"/>
      <c r="K67" s="27"/>
      <c r="L67" s="30" t="s">
        <v>77</v>
      </c>
    </row>
    <row r="68" spans="1:12" ht="16.5" x14ac:dyDescent="0.25">
      <c r="A68" s="23"/>
      <c r="B68" s="27">
        <v>2</v>
      </c>
      <c r="C68" s="25" t="s">
        <v>81</v>
      </c>
      <c r="D68" s="40"/>
      <c r="E68" s="40"/>
      <c r="F68" s="40"/>
      <c r="G68" s="38"/>
      <c r="H68" s="38"/>
      <c r="I68" s="38"/>
      <c r="J68" s="42"/>
      <c r="K68" s="27"/>
      <c r="L68" s="30"/>
    </row>
    <row r="69" spans="1:12" ht="16.5" x14ac:dyDescent="0.25">
      <c r="A69" s="23"/>
      <c r="B69" s="57"/>
      <c r="C69" s="34" t="s">
        <v>82</v>
      </c>
      <c r="D69" s="35">
        <v>5</v>
      </c>
      <c r="E69" s="35" t="s">
        <v>72</v>
      </c>
      <c r="F69" s="35">
        <v>24</v>
      </c>
      <c r="G69" s="37">
        <v>17500</v>
      </c>
      <c r="H69" s="37">
        <f>D69*F69*G69</f>
        <v>2100000</v>
      </c>
      <c r="I69" s="36">
        <f>H69*12</f>
        <v>25200000</v>
      </c>
      <c r="J69" s="34"/>
      <c r="K69" s="27"/>
      <c r="L69" s="45"/>
    </row>
    <row r="70" spans="1:12" ht="16.5" x14ac:dyDescent="0.25">
      <c r="A70" s="23"/>
      <c r="B70" s="27"/>
      <c r="C70" s="31"/>
      <c r="D70" s="26"/>
      <c r="E70" s="26"/>
      <c r="F70" s="26"/>
      <c r="G70" s="38">
        <f>SUM(G69:G69)</f>
        <v>17500</v>
      </c>
      <c r="H70" s="41">
        <f>SUM(H69:H69)</f>
        <v>2100000</v>
      </c>
      <c r="I70" s="38">
        <f>SUM(I69:I69)</f>
        <v>25200000</v>
      </c>
      <c r="J70" s="46"/>
      <c r="K70" s="27"/>
      <c r="L70" s="47" t="s">
        <v>80</v>
      </c>
    </row>
    <row r="71" spans="1:12" ht="16.5" x14ac:dyDescent="0.25">
      <c r="A71" s="39"/>
      <c r="B71" s="24" t="s">
        <v>126</v>
      </c>
      <c r="C71" s="25" t="s">
        <v>88</v>
      </c>
      <c r="D71" s="40"/>
      <c r="E71" s="40"/>
      <c r="F71" s="40"/>
      <c r="G71" s="38"/>
      <c r="H71" s="41"/>
      <c r="I71" s="38"/>
      <c r="J71" s="42"/>
      <c r="K71" s="27"/>
      <c r="L71" s="30"/>
    </row>
    <row r="72" spans="1:12" ht="16.5" x14ac:dyDescent="0.25">
      <c r="A72" s="23"/>
      <c r="B72" s="27"/>
      <c r="C72" s="31" t="str">
        <f>$C28</f>
        <v>-  Jaminan Hari tua (JHT) Nilai A x 3.7%</v>
      </c>
      <c r="D72" s="26">
        <f>D65</f>
        <v>5</v>
      </c>
      <c r="E72" s="26" t="s">
        <v>72</v>
      </c>
      <c r="F72" s="26"/>
      <c r="G72" s="32">
        <f>+G67*3.7%</f>
        <v>117595.16551574168</v>
      </c>
      <c r="H72" s="33">
        <f>+G72*D72</f>
        <v>587975.82757870841</v>
      </c>
      <c r="I72" s="32">
        <f>+H72*12</f>
        <v>7055709.9309445005</v>
      </c>
      <c r="J72" s="29"/>
      <c r="K72" s="27" t="str">
        <f>$K$28</f>
        <v>1% ditanggung oleh pekerja</v>
      </c>
      <c r="L72" s="30"/>
    </row>
    <row r="73" spans="1:12" ht="16.5" x14ac:dyDescent="0.25">
      <c r="A73" s="23"/>
      <c r="B73" s="27"/>
      <c r="C73" s="31" t="str">
        <f>$C29</f>
        <v>- Jaminan Kecelakaan kerja (JKK) Nilai A x 1.74%</v>
      </c>
      <c r="D73" s="26">
        <f>D72</f>
        <v>5</v>
      </c>
      <c r="E73" s="26" t="s">
        <v>72</v>
      </c>
      <c r="F73" s="26"/>
      <c r="G73" s="32">
        <f>+G67*1.74%</f>
        <v>55301.510269564998</v>
      </c>
      <c r="H73" s="33">
        <f>+G73*D73</f>
        <v>276507.55134782498</v>
      </c>
      <c r="I73" s="32">
        <f>+H73*12</f>
        <v>3318090.6161738997</v>
      </c>
      <c r="J73" s="29"/>
      <c r="K73" s="27"/>
      <c r="L73" s="30"/>
    </row>
    <row r="74" spans="1:12" ht="16.5" x14ac:dyDescent="0.25">
      <c r="A74" s="23"/>
      <c r="B74" s="27"/>
      <c r="C74" s="31" t="str">
        <f>$C30</f>
        <v>- Jaminan Pemeliharaan Kesehatan(JPK) Nilai A x 4%</v>
      </c>
      <c r="D74" s="26">
        <f>D73</f>
        <v>5</v>
      </c>
      <c r="E74" s="26" t="s">
        <v>72</v>
      </c>
      <c r="F74" s="26"/>
      <c r="G74" s="32">
        <f>+G67*4%</f>
        <v>127129.90866566668</v>
      </c>
      <c r="H74" s="33">
        <f>+G74*D74</f>
        <v>635649.54332833341</v>
      </c>
      <c r="I74" s="32">
        <f>+H74*12</f>
        <v>7627794.519940001</v>
      </c>
      <c r="J74" s="29"/>
      <c r="K74" s="27"/>
      <c r="L74" s="30"/>
    </row>
    <row r="75" spans="1:12" ht="16.5" x14ac:dyDescent="0.25">
      <c r="A75" s="23"/>
      <c r="B75" s="27"/>
      <c r="C75" s="31" t="str">
        <f>$C31</f>
        <v>- Jaminan Kematian (JK) Nilai A x 0.3%</v>
      </c>
      <c r="D75" s="26">
        <f>D74</f>
        <v>5</v>
      </c>
      <c r="E75" s="26" t="s">
        <v>72</v>
      </c>
      <c r="F75" s="26"/>
      <c r="G75" s="32">
        <f>+G67*0.3%</f>
        <v>9534.7431499250015</v>
      </c>
      <c r="H75" s="33">
        <f>+G75*D75</f>
        <v>47673.715749625007</v>
      </c>
      <c r="I75" s="32">
        <f>+H75*12</f>
        <v>572084.58899550012</v>
      </c>
      <c r="J75" s="31"/>
      <c r="K75" s="48"/>
      <c r="L75" s="30"/>
    </row>
    <row r="76" spans="1:12" ht="16.5" x14ac:dyDescent="0.25">
      <c r="A76" s="23"/>
      <c r="B76" s="57"/>
      <c r="C76" s="34" t="str">
        <f>$C32</f>
        <v>- Jaminan Pensiun (JP) Nilai A x 2%</v>
      </c>
      <c r="D76" s="35">
        <f>D75</f>
        <v>5</v>
      </c>
      <c r="E76" s="35" t="s">
        <v>72</v>
      </c>
      <c r="F76" s="35"/>
      <c r="G76" s="36">
        <f>G32</f>
        <v>63564.954332833338</v>
      </c>
      <c r="H76" s="37">
        <f>+G76*D76</f>
        <v>317824.77166416671</v>
      </c>
      <c r="I76" s="36">
        <f>+H76*12</f>
        <v>3813897.2599700005</v>
      </c>
      <c r="J76" s="49" t="s">
        <v>75</v>
      </c>
      <c r="K76" s="48"/>
      <c r="L76" s="30"/>
    </row>
    <row r="77" spans="1:12" ht="16.5" x14ac:dyDescent="0.25">
      <c r="A77" s="23"/>
      <c r="B77" s="27"/>
      <c r="C77" s="29"/>
      <c r="D77" s="40"/>
      <c r="E77" s="40"/>
      <c r="F77" s="40"/>
      <c r="G77" s="38">
        <f>SUM(G72:G76)</f>
        <v>373126.28193373169</v>
      </c>
      <c r="H77" s="38">
        <f>SUM(H72:H76)</f>
        <v>1865631.4096686589</v>
      </c>
      <c r="I77" s="38">
        <f>SUM(I72:I76)</f>
        <v>22387576.916023903</v>
      </c>
      <c r="J77" s="29"/>
      <c r="K77" s="32"/>
      <c r="L77" s="30" t="s">
        <v>83</v>
      </c>
    </row>
    <row r="78" spans="1:12" ht="16.5" x14ac:dyDescent="0.25">
      <c r="A78" s="23"/>
      <c r="B78" s="27"/>
      <c r="C78" s="31"/>
      <c r="D78" s="40"/>
      <c r="E78" s="40"/>
      <c r="F78" s="40"/>
      <c r="G78" s="38"/>
      <c r="H78" s="38"/>
      <c r="I78" s="38"/>
      <c r="J78" s="29"/>
      <c r="K78" s="27"/>
      <c r="L78" s="50"/>
    </row>
    <row r="79" spans="1:12" ht="16.5" x14ac:dyDescent="0.25">
      <c r="A79" s="14" t="s">
        <v>95</v>
      </c>
      <c r="B79" s="24" t="s">
        <v>96</v>
      </c>
      <c r="C79" s="51"/>
      <c r="D79" s="40"/>
      <c r="E79" s="40"/>
      <c r="F79" s="40"/>
      <c r="G79" s="38"/>
      <c r="H79" s="41"/>
      <c r="I79" s="38"/>
      <c r="J79" s="42"/>
      <c r="K79" s="27"/>
      <c r="L79" s="30"/>
    </row>
    <row r="80" spans="1:12" ht="16.5" x14ac:dyDescent="0.25">
      <c r="A80" s="39"/>
      <c r="B80" s="24">
        <v>1</v>
      </c>
      <c r="C80" s="25" t="s">
        <v>97</v>
      </c>
      <c r="D80" s="40"/>
      <c r="E80" s="40"/>
      <c r="F80" s="40"/>
      <c r="G80" s="38"/>
      <c r="H80" s="41"/>
      <c r="I80" s="38"/>
      <c r="J80" s="42"/>
      <c r="K80" s="27"/>
      <c r="L80" s="30"/>
    </row>
    <row r="81" spans="1:12" ht="20.25" x14ac:dyDescent="0.25">
      <c r="A81" s="23"/>
      <c r="B81" s="52"/>
      <c r="C81" s="31" t="str">
        <f>$C37</f>
        <v>- Pakaian Kerja (1 pasang / tahun)</v>
      </c>
      <c r="D81" s="26">
        <f>D65</f>
        <v>5</v>
      </c>
      <c r="E81" s="26" t="s">
        <v>72</v>
      </c>
      <c r="F81" s="26"/>
      <c r="G81" s="32">
        <f>G37</f>
        <v>32083.333333333336</v>
      </c>
      <c r="H81" s="33">
        <f>+G81*D81</f>
        <v>160416.66666666669</v>
      </c>
      <c r="I81" s="32">
        <f>+H81*12</f>
        <v>1925000.0000000002</v>
      </c>
      <c r="J81" s="29"/>
      <c r="K81" s="27"/>
      <c r="L81" s="30"/>
    </row>
    <row r="82" spans="1:12" ht="16.5" x14ac:dyDescent="0.25">
      <c r="A82" s="23"/>
      <c r="B82" s="24"/>
      <c r="C82" s="31" t="str">
        <f>$C38</f>
        <v>- Safety Shoes (1 pasang / tahun)</v>
      </c>
      <c r="D82" s="26">
        <f>D81</f>
        <v>5</v>
      </c>
      <c r="E82" s="26" t="s">
        <v>72</v>
      </c>
      <c r="F82" s="26"/>
      <c r="G82" s="33">
        <f>G38</f>
        <v>18333.333333333336</v>
      </c>
      <c r="H82" s="33">
        <f>+G82*D82</f>
        <v>91666.666666666686</v>
      </c>
      <c r="I82" s="32">
        <f>+H82*12</f>
        <v>1100000.0000000002</v>
      </c>
      <c r="J82" s="29"/>
      <c r="K82" s="27"/>
      <c r="L82" s="30"/>
    </row>
    <row r="83" spans="1:12" ht="16.5" x14ac:dyDescent="0.25">
      <c r="A83" s="23"/>
      <c r="B83" s="24"/>
      <c r="C83" s="31" t="str">
        <f>$C39</f>
        <v>- Safety Helmet berwarna biru muda (1 pc / tahun)</v>
      </c>
      <c r="D83" s="26">
        <f>D82</f>
        <v>5</v>
      </c>
      <c r="E83" s="26" t="s">
        <v>72</v>
      </c>
      <c r="F83" s="26"/>
      <c r="G83" s="33">
        <f>G39</f>
        <v>5500</v>
      </c>
      <c r="H83" s="33">
        <f>+G83*D83</f>
        <v>27500</v>
      </c>
      <c r="I83" s="32">
        <f>+H83*12</f>
        <v>330000</v>
      </c>
      <c r="J83" s="29"/>
      <c r="K83" s="27"/>
      <c r="L83" s="30"/>
    </row>
    <row r="84" spans="1:12" ht="16.5" x14ac:dyDescent="0.25">
      <c r="A84" s="23"/>
      <c r="B84" s="24"/>
      <c r="C84" s="31" t="str">
        <f>$C40</f>
        <v>- Kaos Tangan Katun  (4 pasang/ Bulan)</v>
      </c>
      <c r="D84" s="26">
        <f>D83</f>
        <v>5</v>
      </c>
      <c r="E84" s="35" t="s">
        <v>72</v>
      </c>
      <c r="F84" s="35"/>
      <c r="G84" s="37">
        <f>G40</f>
        <v>733.33333333333337</v>
      </c>
      <c r="H84" s="37">
        <f>+G84*D84</f>
        <v>3666.666666666667</v>
      </c>
      <c r="I84" s="36">
        <f>+H84*12</f>
        <v>44000</v>
      </c>
      <c r="J84" s="34" t="s">
        <v>75</v>
      </c>
      <c r="K84" s="27"/>
      <c r="L84" s="30"/>
    </row>
    <row r="85" spans="1:12" ht="16.5" hidden="1" x14ac:dyDescent="0.25">
      <c r="A85" s="23"/>
      <c r="B85" s="24"/>
      <c r="C85" s="34" t="s">
        <v>99</v>
      </c>
      <c r="D85" s="26" t="e">
        <f>$D$30</f>
        <v>#REF!</v>
      </c>
      <c r="E85" s="35" t="s">
        <v>72</v>
      </c>
      <c r="F85" s="35"/>
      <c r="G85" s="37">
        <v>0</v>
      </c>
      <c r="H85" s="37" t="e">
        <f>+G85*D85</f>
        <v>#REF!</v>
      </c>
      <c r="I85" s="36" t="e">
        <f>+H85*12</f>
        <v>#REF!</v>
      </c>
      <c r="J85" s="49" t="s">
        <v>75</v>
      </c>
      <c r="K85" s="27"/>
      <c r="L85" s="30"/>
    </row>
    <row r="86" spans="1:12" ht="16.5" x14ac:dyDescent="0.25">
      <c r="A86" s="23"/>
      <c r="B86" s="48"/>
      <c r="C86" s="44"/>
      <c r="D86" s="26"/>
      <c r="E86" s="26"/>
      <c r="F86" s="26"/>
      <c r="G86" s="38">
        <f>SUM(G81:G85)</f>
        <v>56650.000000000007</v>
      </c>
      <c r="H86" s="38" t="e">
        <f>SUM(H81:H85)</f>
        <v>#REF!</v>
      </c>
      <c r="I86" s="38" t="e">
        <f>SUM(I81:I85)</f>
        <v>#REF!</v>
      </c>
      <c r="J86" s="29"/>
      <c r="K86" s="27"/>
      <c r="L86" s="30" t="s">
        <v>85</v>
      </c>
    </row>
    <row r="87" spans="1:12" ht="16.5" x14ac:dyDescent="0.25">
      <c r="A87" s="23"/>
      <c r="B87" s="48"/>
      <c r="C87" s="29"/>
      <c r="D87" s="26"/>
      <c r="E87" s="26"/>
      <c r="F87" s="26"/>
      <c r="G87" s="38"/>
      <c r="H87" s="38"/>
      <c r="I87" s="38"/>
      <c r="J87" s="29"/>
      <c r="K87" s="27"/>
      <c r="L87" s="30"/>
    </row>
    <row r="88" spans="1:12" ht="16.5" x14ac:dyDescent="0.25">
      <c r="A88" s="23"/>
      <c r="B88" s="59">
        <v>2</v>
      </c>
      <c r="C88" s="25" t="s">
        <v>101</v>
      </c>
      <c r="D88" s="26"/>
      <c r="E88" s="26"/>
      <c r="F88" s="26"/>
      <c r="G88" s="38"/>
      <c r="H88" s="38"/>
      <c r="I88" s="38"/>
      <c r="J88" s="29"/>
      <c r="K88" s="27"/>
      <c r="L88" s="30"/>
    </row>
    <row r="89" spans="1:12" ht="16.5" x14ac:dyDescent="0.3">
      <c r="A89" s="23"/>
      <c r="B89" s="48"/>
      <c r="C89" s="60" t="s">
        <v>180</v>
      </c>
      <c r="D89" s="61">
        <v>50</v>
      </c>
      <c r="E89" s="61" t="s">
        <v>104</v>
      </c>
      <c r="F89" s="26"/>
      <c r="G89" s="33">
        <f>10000/12*110%</f>
        <v>916.66666666666674</v>
      </c>
      <c r="H89" s="32">
        <f>G89*D89</f>
        <v>45833.333333333336</v>
      </c>
      <c r="I89" s="32">
        <f>+H89*12</f>
        <v>550000</v>
      </c>
      <c r="J89" s="29"/>
      <c r="K89" s="27"/>
      <c r="L89" s="30"/>
    </row>
    <row r="90" spans="1:12" ht="16.5" x14ac:dyDescent="0.3">
      <c r="A90" s="23"/>
      <c r="B90" s="48"/>
      <c r="C90" s="62" t="s">
        <v>127</v>
      </c>
      <c r="D90" s="63">
        <v>15</v>
      </c>
      <c r="E90" s="63" t="s">
        <v>104</v>
      </c>
      <c r="F90" s="63"/>
      <c r="G90" s="37">
        <f>20000/12</f>
        <v>1666.6666666666667</v>
      </c>
      <c r="H90" s="36">
        <f>+G90*D90</f>
        <v>25000</v>
      </c>
      <c r="I90" s="36">
        <f>+H90*12</f>
        <v>300000</v>
      </c>
      <c r="J90" s="34" t="s">
        <v>75</v>
      </c>
      <c r="K90" s="27"/>
      <c r="L90" s="30"/>
    </row>
    <row r="91" spans="1:12" ht="16.5" x14ac:dyDescent="0.3">
      <c r="A91" s="23"/>
      <c r="B91" s="48"/>
      <c r="C91" s="64"/>
      <c r="D91" s="61"/>
      <c r="E91" s="61"/>
      <c r="F91" s="61"/>
      <c r="G91" s="38">
        <f>SUM(G89:G90)</f>
        <v>2583.3333333333335</v>
      </c>
      <c r="H91" s="38">
        <f>SUM(H89:H90)</f>
        <v>70833.333333333343</v>
      </c>
      <c r="I91" s="38">
        <f>SUM(I89:I90)</f>
        <v>850000</v>
      </c>
      <c r="J91" s="29"/>
      <c r="K91" s="27"/>
      <c r="L91" s="30" t="s">
        <v>100</v>
      </c>
    </row>
    <row r="92" spans="1:12" ht="17.25" thickBot="1" x14ac:dyDescent="0.3">
      <c r="A92" s="23"/>
      <c r="B92" s="65"/>
      <c r="C92" s="66"/>
      <c r="D92" s="67"/>
      <c r="E92" s="67"/>
      <c r="F92" s="67"/>
      <c r="G92" s="38"/>
      <c r="H92" s="38"/>
      <c r="I92" s="38"/>
      <c r="J92" s="29"/>
      <c r="K92" s="27"/>
      <c r="L92" s="30"/>
    </row>
    <row r="93" spans="1:12" ht="17.25" thickBot="1" x14ac:dyDescent="0.3">
      <c r="A93" s="245" t="s">
        <v>202</v>
      </c>
      <c r="B93" s="246"/>
      <c r="C93" s="246"/>
      <c r="D93" s="246"/>
      <c r="E93" s="246"/>
      <c r="F93" s="249"/>
      <c r="G93" s="68">
        <f>+G91+G86+G77+G67+G70</f>
        <v>3628107.3319087317</v>
      </c>
      <c r="H93" s="68" t="e">
        <f>+H91+H86+H77+H67+H70</f>
        <v>#REF!</v>
      </c>
      <c r="I93" s="68" t="e">
        <f>+I91+I86+I77+I67+I70</f>
        <v>#REF!</v>
      </c>
      <c r="J93" s="69"/>
      <c r="K93" s="70"/>
      <c r="L93" s="71" t="s">
        <v>86</v>
      </c>
    </row>
    <row r="94" spans="1:12" ht="16.5" x14ac:dyDescent="0.25">
      <c r="A94" s="14" t="s">
        <v>109</v>
      </c>
      <c r="B94" s="24" t="s">
        <v>110</v>
      </c>
      <c r="C94" s="72"/>
      <c r="D94" s="26"/>
      <c r="E94" s="26"/>
      <c r="F94" s="26"/>
      <c r="G94" s="32">
        <f>G93*10%</f>
        <v>362810.73319087317</v>
      </c>
      <c r="H94" s="32" t="e">
        <f>+H93*8%</f>
        <v>#REF!</v>
      </c>
      <c r="I94" s="32" t="e">
        <f>+I93*8%</f>
        <v>#REF!</v>
      </c>
      <c r="J94" s="29"/>
      <c r="K94" s="73"/>
      <c r="L94" s="30" t="s">
        <v>108</v>
      </c>
    </row>
    <row r="95" spans="1:12" ht="16.5" x14ac:dyDescent="0.25">
      <c r="A95" s="14" t="s">
        <v>112</v>
      </c>
      <c r="B95" s="24" t="s">
        <v>113</v>
      </c>
      <c r="C95" s="44"/>
      <c r="D95" s="26">
        <f>D72</f>
        <v>5</v>
      </c>
      <c r="E95" s="26" t="s">
        <v>72</v>
      </c>
      <c r="F95" s="26"/>
      <c r="G95" s="32">
        <f>G53</f>
        <v>381389.725997</v>
      </c>
      <c r="H95" s="33">
        <f>G95*D95</f>
        <v>1906948.629985</v>
      </c>
      <c r="I95" s="32">
        <f>+H95*12</f>
        <v>22883383.55982</v>
      </c>
      <c r="J95" s="29"/>
      <c r="K95" s="27"/>
      <c r="L95" s="30" t="s">
        <v>111</v>
      </c>
    </row>
    <row r="96" spans="1:12" ht="17.25" thickBot="1" x14ac:dyDescent="0.3">
      <c r="A96" s="14" t="s">
        <v>115</v>
      </c>
      <c r="B96" s="15" t="s">
        <v>118</v>
      </c>
      <c r="C96" s="44"/>
      <c r="D96" s="26">
        <f>D74</f>
        <v>5</v>
      </c>
      <c r="E96" s="26" t="s">
        <v>72</v>
      </c>
      <c r="F96" s="26"/>
      <c r="G96" s="32">
        <v>50000</v>
      </c>
      <c r="H96" s="33">
        <f>G96*D96</f>
        <v>250000</v>
      </c>
      <c r="I96" s="32">
        <f>+H96*12</f>
        <v>3000000</v>
      </c>
      <c r="J96" s="29"/>
      <c r="K96" s="27"/>
      <c r="L96" s="30" t="s">
        <v>114</v>
      </c>
    </row>
    <row r="97" spans="1:12" ht="17.25" thickBot="1" x14ac:dyDescent="0.3">
      <c r="A97" s="245" t="s">
        <v>201</v>
      </c>
      <c r="B97" s="246"/>
      <c r="C97" s="246"/>
      <c r="D97" s="246"/>
      <c r="E97" s="246"/>
      <c r="F97" s="246"/>
      <c r="G97" s="246"/>
      <c r="H97" s="74" t="e">
        <f>SUM(H93:H96)</f>
        <v>#REF!</v>
      </c>
      <c r="I97" s="74" t="e">
        <f>SUM(I93:I96)</f>
        <v>#REF!</v>
      </c>
      <c r="J97" s="69"/>
      <c r="K97" s="75"/>
      <c r="L97" s="71" t="s">
        <v>129</v>
      </c>
    </row>
    <row r="98" spans="1:12" ht="18.75" thickBot="1" x14ac:dyDescent="0.3">
      <c r="A98" s="245" t="s">
        <v>198</v>
      </c>
      <c r="B98" s="246"/>
      <c r="C98" s="246"/>
      <c r="D98" s="246"/>
      <c r="E98" s="246"/>
      <c r="F98" s="246"/>
      <c r="G98" s="246"/>
      <c r="H98" s="246"/>
      <c r="I98" s="76" t="e">
        <f>#REF!</f>
        <v>#REF!</v>
      </c>
      <c r="J98" s="69" t="s">
        <v>123</v>
      </c>
      <c r="K98" s="77"/>
      <c r="L98" s="71"/>
    </row>
    <row r="99" spans="1:12" ht="16.5" thickBot="1" x14ac:dyDescent="0.3">
      <c r="A99" s="247" t="s">
        <v>122</v>
      </c>
      <c r="B99" s="248"/>
      <c r="C99" s="248"/>
      <c r="D99" s="248"/>
      <c r="E99" s="248"/>
      <c r="F99" s="248"/>
      <c r="G99" s="248"/>
      <c r="H99" s="248"/>
      <c r="I99" s="195" t="e">
        <f>I97/I98</f>
        <v>#REF!</v>
      </c>
      <c r="J99" s="78"/>
      <c r="K99" s="79"/>
      <c r="L99" s="80"/>
    </row>
    <row r="101" spans="1:12" ht="16.5" thickBot="1" x14ac:dyDescent="0.3"/>
    <row r="102" spans="1:12" x14ac:dyDescent="0.25">
      <c r="A102" s="227" t="s">
        <v>58</v>
      </c>
      <c r="B102" s="229" t="s">
        <v>59</v>
      </c>
      <c r="C102" s="230"/>
      <c r="D102" s="233" t="s">
        <v>60</v>
      </c>
      <c r="E102" s="233" t="s">
        <v>61</v>
      </c>
      <c r="F102" s="235" t="s">
        <v>62</v>
      </c>
      <c r="G102" s="237" t="s">
        <v>63</v>
      </c>
      <c r="H102" s="237" t="s">
        <v>64</v>
      </c>
      <c r="I102" s="239" t="s">
        <v>65</v>
      </c>
      <c r="J102" s="240"/>
      <c r="K102" s="229" t="s">
        <v>66</v>
      </c>
      <c r="L102" s="243"/>
    </row>
    <row r="103" spans="1:12" ht="16.5" thickBot="1" x14ac:dyDescent="0.3">
      <c r="A103" s="228"/>
      <c r="B103" s="231"/>
      <c r="C103" s="232"/>
      <c r="D103" s="234"/>
      <c r="E103" s="234"/>
      <c r="F103" s="236"/>
      <c r="G103" s="238"/>
      <c r="H103" s="238"/>
      <c r="I103" s="241"/>
      <c r="J103" s="242"/>
      <c r="K103" s="231"/>
      <c r="L103" s="244"/>
    </row>
    <row r="104" spans="1:12" ht="18" thickTop="1" thickBot="1" x14ac:dyDescent="0.3">
      <c r="A104" s="179" t="s">
        <v>203</v>
      </c>
      <c r="B104" s="179"/>
      <c r="C104" s="180"/>
      <c r="D104" s="181"/>
      <c r="E104" s="181"/>
      <c r="F104" s="181"/>
      <c r="G104" s="182"/>
      <c r="H104" s="182"/>
      <c r="I104" s="182"/>
      <c r="J104" s="182"/>
      <c r="K104" s="180"/>
      <c r="L104" s="183"/>
    </row>
    <row r="105" spans="1:12" ht="17.25" thickTop="1" x14ac:dyDescent="0.25">
      <c r="A105" s="14" t="s">
        <v>68</v>
      </c>
      <c r="B105" s="15" t="s">
        <v>130</v>
      </c>
      <c r="C105" s="16"/>
      <c r="D105" s="17"/>
      <c r="E105" s="17"/>
      <c r="F105" s="17"/>
      <c r="G105" s="18"/>
      <c r="H105" s="19"/>
      <c r="I105" s="18"/>
      <c r="J105" s="20"/>
      <c r="K105" s="21"/>
      <c r="L105" s="22"/>
    </row>
    <row r="106" spans="1:12" ht="16.5" x14ac:dyDescent="0.25">
      <c r="A106" s="23"/>
      <c r="B106" s="24">
        <v>1</v>
      </c>
      <c r="C106" s="25" t="s">
        <v>70</v>
      </c>
      <c r="D106" s="26"/>
      <c r="E106" s="26"/>
      <c r="F106" s="26"/>
      <c r="G106" s="27"/>
      <c r="H106" s="28"/>
      <c r="I106" s="27"/>
      <c r="J106" s="29"/>
      <c r="K106" s="27"/>
      <c r="L106" s="30"/>
    </row>
    <row r="107" spans="1:12" ht="16.5" x14ac:dyDescent="0.25">
      <c r="A107" s="23"/>
      <c r="B107" s="27"/>
      <c r="C107" s="31" t="s">
        <v>71</v>
      </c>
      <c r="D107" s="26">
        <v>3</v>
      </c>
      <c r="E107" s="26" t="s">
        <v>72</v>
      </c>
      <c r="F107" s="26">
        <v>24</v>
      </c>
      <c r="G107" s="32">
        <f>G65</f>
        <v>2383685.7874812502</v>
      </c>
      <c r="H107" s="33">
        <f>+G107*D107</f>
        <v>7151057.3624437507</v>
      </c>
      <c r="I107" s="32">
        <f>+H107*12</f>
        <v>85812688.349325001</v>
      </c>
      <c r="J107" s="29"/>
      <c r="K107" s="27" t="s">
        <v>73</v>
      </c>
      <c r="L107" s="30"/>
    </row>
    <row r="108" spans="1:12" ht="16.5" x14ac:dyDescent="0.25">
      <c r="A108" s="23"/>
      <c r="B108" s="27"/>
      <c r="C108" s="34" t="s">
        <v>74</v>
      </c>
      <c r="D108" s="35">
        <v>3</v>
      </c>
      <c r="E108" s="35" t="s">
        <v>72</v>
      </c>
      <c r="F108" s="35">
        <v>24</v>
      </c>
      <c r="G108" s="36">
        <f>G66</f>
        <v>794561.92916041671</v>
      </c>
      <c r="H108" s="37">
        <f>+G108*D108</f>
        <v>2383685.7874812502</v>
      </c>
      <c r="I108" s="36">
        <f>+H108*12</f>
        <v>28604229.449775003</v>
      </c>
      <c r="J108" s="34" t="s">
        <v>75</v>
      </c>
      <c r="K108" s="27" t="s">
        <v>76</v>
      </c>
      <c r="L108" s="30"/>
    </row>
    <row r="109" spans="1:12" ht="16.5" x14ac:dyDescent="0.25">
      <c r="A109" s="53"/>
      <c r="B109" s="57"/>
      <c r="C109" s="34"/>
      <c r="D109" s="35"/>
      <c r="E109" s="35"/>
      <c r="F109" s="35"/>
      <c r="G109" s="56">
        <f>SUM(G107:G108)</f>
        <v>3178247.7166416668</v>
      </c>
      <c r="H109" s="56">
        <f>SUM(H107:H108)</f>
        <v>9534743.149925001</v>
      </c>
      <c r="I109" s="56">
        <f>SUM(I107:I108)</f>
        <v>114416917.79910001</v>
      </c>
      <c r="J109" s="55"/>
      <c r="K109" s="57"/>
      <c r="L109" s="58" t="s">
        <v>77</v>
      </c>
    </row>
    <row r="110" spans="1:12" ht="16.5" x14ac:dyDescent="0.25">
      <c r="A110" s="23"/>
      <c r="B110" s="27">
        <v>2</v>
      </c>
      <c r="C110" s="25" t="s">
        <v>81</v>
      </c>
      <c r="D110" s="40"/>
      <c r="E110" s="40"/>
      <c r="F110" s="40"/>
      <c r="G110" s="38"/>
      <c r="H110" s="38"/>
      <c r="I110" s="38"/>
      <c r="J110" s="42"/>
      <c r="K110" s="27"/>
      <c r="L110" s="30"/>
    </row>
    <row r="111" spans="1:12" ht="16.5" x14ac:dyDescent="0.25">
      <c r="A111" s="23"/>
      <c r="B111" s="27"/>
      <c r="C111" s="34" t="s">
        <v>82</v>
      </c>
      <c r="D111" s="35">
        <v>3</v>
      </c>
      <c r="E111" s="35" t="s">
        <v>72</v>
      </c>
      <c r="F111" s="35">
        <v>24</v>
      </c>
      <c r="G111" s="37">
        <v>17500</v>
      </c>
      <c r="H111" s="37">
        <f>D111*F111*G111</f>
        <v>1260000</v>
      </c>
      <c r="I111" s="36">
        <f>H111*12</f>
        <v>15120000</v>
      </c>
      <c r="J111" s="43"/>
      <c r="K111" s="27"/>
      <c r="L111" s="45"/>
    </row>
    <row r="112" spans="1:12" ht="16.5" x14ac:dyDescent="0.25">
      <c r="A112" s="23"/>
      <c r="B112" s="27"/>
      <c r="C112" s="31"/>
      <c r="D112" s="26"/>
      <c r="E112" s="26"/>
      <c r="F112" s="26"/>
      <c r="G112" s="38">
        <f>SUM(G111:G111)</f>
        <v>17500</v>
      </c>
      <c r="H112" s="41">
        <f>SUM(H111:H111)</f>
        <v>1260000</v>
      </c>
      <c r="I112" s="38">
        <f>SUM(I111:I111)</f>
        <v>15120000</v>
      </c>
      <c r="J112" s="46"/>
      <c r="K112" s="27"/>
      <c r="L112" s="50" t="s">
        <v>80</v>
      </c>
    </row>
    <row r="113" spans="1:12" ht="16.5" x14ac:dyDescent="0.25">
      <c r="A113" s="39"/>
      <c r="B113" s="24" t="s">
        <v>126</v>
      </c>
      <c r="C113" s="25" t="s">
        <v>88</v>
      </c>
      <c r="D113" s="40"/>
      <c r="E113" s="40"/>
      <c r="F113" s="40"/>
      <c r="G113" s="38"/>
      <c r="H113" s="41"/>
      <c r="I113" s="38"/>
      <c r="J113" s="42"/>
      <c r="K113" s="27"/>
      <c r="L113" s="30"/>
    </row>
    <row r="114" spans="1:12" ht="16.5" x14ac:dyDescent="0.25">
      <c r="A114" s="23"/>
      <c r="B114" s="27"/>
      <c r="C114" s="31" t="str">
        <f>$C72</f>
        <v>-  Jaminan Hari tua (JHT) Nilai A x 3.7%</v>
      </c>
      <c r="D114" s="26">
        <v>3</v>
      </c>
      <c r="E114" s="26" t="s">
        <v>72</v>
      </c>
      <c r="F114" s="26"/>
      <c r="G114" s="32">
        <f>+G109*3.7%</f>
        <v>117595.16551574168</v>
      </c>
      <c r="H114" s="33">
        <f>+G114*D114</f>
        <v>352785.49654722505</v>
      </c>
      <c r="I114" s="32">
        <f>+H114*12</f>
        <v>4233425.958566701</v>
      </c>
      <c r="J114" s="29"/>
      <c r="K114" s="27" t="str">
        <f>K72</f>
        <v>1% ditanggung oleh pekerja</v>
      </c>
      <c r="L114" s="30"/>
    </row>
    <row r="115" spans="1:12" ht="16.5" x14ac:dyDescent="0.25">
      <c r="A115" s="23"/>
      <c r="B115" s="27"/>
      <c r="C115" s="31" t="str">
        <f>$C73</f>
        <v>- Jaminan Kecelakaan kerja (JKK) Nilai A x 1.74%</v>
      </c>
      <c r="D115" s="26">
        <v>3</v>
      </c>
      <c r="E115" s="26" t="s">
        <v>72</v>
      </c>
      <c r="F115" s="26"/>
      <c r="G115" s="32">
        <f>+G109*1.74%</f>
        <v>55301.510269564998</v>
      </c>
      <c r="H115" s="33">
        <f>+G115*D115</f>
        <v>165904.53080869501</v>
      </c>
      <c r="I115" s="32">
        <f>+H115*12</f>
        <v>1990854.3697043401</v>
      </c>
      <c r="J115" s="29"/>
      <c r="K115" s="27"/>
      <c r="L115" s="30"/>
    </row>
    <row r="116" spans="1:12" ht="16.5" x14ac:dyDescent="0.25">
      <c r="A116" s="23"/>
      <c r="B116" s="27"/>
      <c r="C116" s="31" t="str">
        <f>$C74</f>
        <v>- Jaminan Pemeliharaan Kesehatan(JPK) Nilai A x 4%</v>
      </c>
      <c r="D116" s="26">
        <v>3</v>
      </c>
      <c r="E116" s="26" t="s">
        <v>72</v>
      </c>
      <c r="F116" s="26"/>
      <c r="G116" s="32">
        <f>+G109*4%</f>
        <v>127129.90866566668</v>
      </c>
      <c r="H116" s="33">
        <f>+G116*D116</f>
        <v>381389.725997</v>
      </c>
      <c r="I116" s="32">
        <f>+H116*12</f>
        <v>4576676.711964</v>
      </c>
      <c r="J116" s="29"/>
      <c r="K116" s="27"/>
      <c r="L116" s="30"/>
    </row>
    <row r="117" spans="1:12" ht="16.5" x14ac:dyDescent="0.25">
      <c r="A117" s="23"/>
      <c r="B117" s="27"/>
      <c r="C117" s="31" t="str">
        <f>$C75</f>
        <v>- Jaminan Kematian (JK) Nilai A x 0.3%</v>
      </c>
      <c r="D117" s="26">
        <v>3</v>
      </c>
      <c r="E117" s="26" t="s">
        <v>72</v>
      </c>
      <c r="F117" s="26"/>
      <c r="G117" s="32">
        <f>+G109*0.3%</f>
        <v>9534.7431499250015</v>
      </c>
      <c r="H117" s="33">
        <f>+G117*D117</f>
        <v>28604.229449775004</v>
      </c>
      <c r="I117" s="32">
        <f>+H117*12</f>
        <v>343250.75339730002</v>
      </c>
      <c r="J117" s="31"/>
      <c r="K117" s="48"/>
      <c r="L117" s="30"/>
    </row>
    <row r="118" spans="1:12" ht="16.5" x14ac:dyDescent="0.25">
      <c r="A118" s="23"/>
      <c r="B118" s="27"/>
      <c r="C118" s="31" t="str">
        <f>$C76</f>
        <v>- Jaminan Pensiun (JP) Nilai A x 2%</v>
      </c>
      <c r="D118" s="26">
        <v>3</v>
      </c>
      <c r="E118" s="35" t="s">
        <v>72</v>
      </c>
      <c r="F118" s="35"/>
      <c r="G118" s="36">
        <f>G76</f>
        <v>63564.954332833338</v>
      </c>
      <c r="H118" s="37">
        <f>+G118*D118</f>
        <v>190694.8629985</v>
      </c>
      <c r="I118" s="36">
        <f>+H118*12</f>
        <v>2288338.355982</v>
      </c>
      <c r="J118" s="49" t="s">
        <v>75</v>
      </c>
      <c r="K118" s="48"/>
      <c r="L118" s="30"/>
    </row>
    <row r="119" spans="1:12" ht="16.5" x14ac:dyDescent="0.25">
      <c r="A119" s="23"/>
      <c r="B119" s="27"/>
      <c r="C119" s="29"/>
      <c r="D119" s="40"/>
      <c r="E119" s="40"/>
      <c r="F119" s="40"/>
      <c r="G119" s="38">
        <f>SUM(G114:G118)</f>
        <v>373126.28193373169</v>
      </c>
      <c r="H119" s="38">
        <f>SUM(H114:H118)</f>
        <v>1119378.8458011951</v>
      </c>
      <c r="I119" s="38">
        <f>SUM(I114:I118)</f>
        <v>13432546.149614342</v>
      </c>
      <c r="J119" s="29"/>
      <c r="K119" s="32"/>
      <c r="L119" s="30" t="s">
        <v>83</v>
      </c>
    </row>
    <row r="120" spans="1:12" ht="16.5" x14ac:dyDescent="0.25">
      <c r="A120" s="23"/>
      <c r="B120" s="27"/>
      <c r="C120" s="31"/>
      <c r="D120" s="40"/>
      <c r="E120" s="40"/>
      <c r="F120" s="40"/>
      <c r="G120" s="38"/>
      <c r="H120" s="38"/>
      <c r="I120" s="38"/>
      <c r="J120" s="29"/>
      <c r="K120" s="27"/>
      <c r="L120" s="50"/>
    </row>
    <row r="121" spans="1:12" ht="16.5" x14ac:dyDescent="0.25">
      <c r="A121" s="39" t="s">
        <v>95</v>
      </c>
      <c r="B121" s="24" t="s">
        <v>96</v>
      </c>
      <c r="C121" s="51"/>
      <c r="D121" s="40"/>
      <c r="E121" s="40"/>
      <c r="F121" s="40"/>
      <c r="G121" s="38"/>
      <c r="H121" s="41"/>
      <c r="I121" s="38"/>
      <c r="J121" s="42"/>
      <c r="K121" s="27"/>
      <c r="L121" s="30"/>
    </row>
    <row r="122" spans="1:12" ht="16.5" x14ac:dyDescent="0.25">
      <c r="A122" s="39"/>
      <c r="B122" s="24">
        <v>1</v>
      </c>
      <c r="C122" s="25" t="s">
        <v>97</v>
      </c>
      <c r="D122" s="40"/>
      <c r="E122" s="40"/>
      <c r="F122" s="40"/>
      <c r="G122" s="38"/>
      <c r="H122" s="41"/>
      <c r="I122" s="38"/>
      <c r="J122" s="42"/>
      <c r="K122" s="27"/>
      <c r="L122" s="30"/>
    </row>
    <row r="123" spans="1:12" ht="20.25" x14ac:dyDescent="0.25">
      <c r="A123" s="23"/>
      <c r="B123" s="52"/>
      <c r="C123" s="31" t="str">
        <f>$C37</f>
        <v>- Pakaian Kerja (1 pasang / tahun)</v>
      </c>
      <c r="D123" s="26">
        <v>3</v>
      </c>
      <c r="E123" s="26" t="s">
        <v>72</v>
      </c>
      <c r="F123" s="26"/>
      <c r="G123" s="32">
        <f>G37</f>
        <v>32083.333333333336</v>
      </c>
      <c r="H123" s="33">
        <f>+G123*D123</f>
        <v>96250</v>
      </c>
      <c r="I123" s="32">
        <f>+H123*12</f>
        <v>1155000</v>
      </c>
      <c r="J123" s="29"/>
      <c r="K123" s="27"/>
      <c r="L123" s="30"/>
    </row>
    <row r="124" spans="1:12" ht="16.5" x14ac:dyDescent="0.25">
      <c r="A124" s="23"/>
      <c r="B124" s="24"/>
      <c r="C124" s="31" t="str">
        <f>$C38</f>
        <v>- Safety Shoes (1 pasang / tahun)</v>
      </c>
      <c r="D124" s="26">
        <v>3</v>
      </c>
      <c r="E124" s="26" t="s">
        <v>72</v>
      </c>
      <c r="F124" s="26"/>
      <c r="G124" s="33">
        <f>G38</f>
        <v>18333.333333333336</v>
      </c>
      <c r="H124" s="33">
        <f>+G124*D124</f>
        <v>55000.000000000007</v>
      </c>
      <c r="I124" s="32">
        <f>+H124*12</f>
        <v>660000.00000000012</v>
      </c>
      <c r="J124" s="29"/>
      <c r="K124" s="27"/>
      <c r="L124" s="30"/>
    </row>
    <row r="125" spans="1:12" ht="16.5" x14ac:dyDescent="0.25">
      <c r="A125" s="23"/>
      <c r="B125" s="24"/>
      <c r="C125" s="31" t="str">
        <f>$C39</f>
        <v>- Safety Helmet berwarna biru muda (1 pc / tahun)</v>
      </c>
      <c r="D125" s="26">
        <v>3</v>
      </c>
      <c r="E125" s="26" t="s">
        <v>72</v>
      </c>
      <c r="F125" s="26"/>
      <c r="G125" s="33">
        <f>G39</f>
        <v>5500</v>
      </c>
      <c r="H125" s="33">
        <f>+G125*D125</f>
        <v>16500</v>
      </c>
      <c r="I125" s="32">
        <f>+H125*12</f>
        <v>198000</v>
      </c>
      <c r="J125" s="29"/>
      <c r="K125" s="27"/>
      <c r="L125" s="30"/>
    </row>
    <row r="126" spans="1:12" ht="16.5" x14ac:dyDescent="0.25">
      <c r="A126" s="23"/>
      <c r="B126" s="24"/>
      <c r="C126" s="31" t="str">
        <f>$C40</f>
        <v>- Kaos Tangan Katun  (4 pasang/ Bulan)</v>
      </c>
      <c r="D126" s="26">
        <v>3</v>
      </c>
      <c r="E126" s="35" t="s">
        <v>72</v>
      </c>
      <c r="F126" s="35"/>
      <c r="G126" s="37">
        <f>G40</f>
        <v>733.33333333333337</v>
      </c>
      <c r="H126" s="37">
        <f>+G126*D126</f>
        <v>2200</v>
      </c>
      <c r="I126" s="36">
        <f>+H126*12</f>
        <v>26400</v>
      </c>
      <c r="J126" s="34" t="s">
        <v>75</v>
      </c>
      <c r="K126" s="27"/>
      <c r="L126" s="30"/>
    </row>
    <row r="127" spans="1:12" ht="16.5" x14ac:dyDescent="0.25">
      <c r="A127" s="23"/>
      <c r="B127" s="48"/>
      <c r="C127" s="44"/>
      <c r="D127" s="26"/>
      <c r="E127" s="26"/>
      <c r="F127" s="26"/>
      <c r="G127" s="38">
        <f>SUM(G123:G126)</f>
        <v>56650.000000000007</v>
      </c>
      <c r="H127" s="38">
        <f>SUM(H123:H126)</f>
        <v>169950</v>
      </c>
      <c r="I127" s="38">
        <f>SUM(I123:I126)</f>
        <v>2039400</v>
      </c>
      <c r="J127" s="29"/>
      <c r="K127" s="27"/>
      <c r="L127" s="30" t="s">
        <v>85</v>
      </c>
    </row>
    <row r="128" spans="1:12" ht="16.5" x14ac:dyDescent="0.25">
      <c r="A128" s="23"/>
      <c r="B128" s="48"/>
      <c r="C128" s="29"/>
      <c r="D128" s="26"/>
      <c r="E128" s="26"/>
      <c r="F128" s="26"/>
      <c r="G128" s="38"/>
      <c r="H128" s="38"/>
      <c r="I128" s="38"/>
      <c r="J128" s="29"/>
      <c r="K128" s="27"/>
      <c r="L128" s="30"/>
    </row>
    <row r="129" spans="1:12" ht="16.5" x14ac:dyDescent="0.25">
      <c r="A129" s="23"/>
      <c r="B129" s="59">
        <v>2</v>
      </c>
      <c r="C129" s="25" t="s">
        <v>101</v>
      </c>
      <c r="D129" s="26"/>
      <c r="E129" s="26"/>
      <c r="F129" s="26"/>
      <c r="G129" s="38"/>
      <c r="H129" s="38"/>
      <c r="I129" s="38"/>
      <c r="J129" s="29"/>
      <c r="K129" s="27"/>
      <c r="L129" s="30"/>
    </row>
    <row r="130" spans="1:12" ht="16.5" x14ac:dyDescent="0.3">
      <c r="A130" s="23"/>
      <c r="B130" s="48"/>
      <c r="C130" s="60" t="s">
        <v>103</v>
      </c>
      <c r="D130" s="61">
        <v>5</v>
      </c>
      <c r="E130" s="61" t="s">
        <v>104</v>
      </c>
      <c r="F130" s="26"/>
      <c r="G130" s="33">
        <f>G46</f>
        <v>12500</v>
      </c>
      <c r="H130" s="32">
        <f t="shared" ref="H130:H135" si="0">+G130*D130</f>
        <v>62500</v>
      </c>
      <c r="I130" s="32">
        <f t="shared" ref="I130:I135" si="1">+H130*12</f>
        <v>750000</v>
      </c>
      <c r="J130" s="29"/>
      <c r="K130" s="27"/>
      <c r="L130" s="30"/>
    </row>
    <row r="131" spans="1:12" ht="16.5" x14ac:dyDescent="0.3">
      <c r="A131" s="23"/>
      <c r="B131" s="48"/>
      <c r="C131" s="60" t="s">
        <v>131</v>
      </c>
      <c r="D131" s="61">
        <v>5</v>
      </c>
      <c r="E131" s="61" t="s">
        <v>104</v>
      </c>
      <c r="F131" s="26"/>
      <c r="G131" s="33">
        <f>50000/12</f>
        <v>4166.666666666667</v>
      </c>
      <c r="H131" s="32">
        <f t="shared" si="0"/>
        <v>20833.333333333336</v>
      </c>
      <c r="I131" s="32">
        <f t="shared" si="1"/>
        <v>250000.00000000003</v>
      </c>
      <c r="J131" s="29"/>
      <c r="K131" s="27"/>
      <c r="L131" s="30"/>
    </row>
    <row r="132" spans="1:12" ht="16.5" x14ac:dyDescent="0.3">
      <c r="A132" s="23"/>
      <c r="B132" s="48"/>
      <c r="C132" s="60" t="s">
        <v>132</v>
      </c>
      <c r="D132" s="61">
        <v>5</v>
      </c>
      <c r="E132" s="61" t="s">
        <v>104</v>
      </c>
      <c r="F132" s="26"/>
      <c r="G132" s="33">
        <f>75000/12</f>
        <v>6250</v>
      </c>
      <c r="H132" s="32">
        <f t="shared" si="0"/>
        <v>31250</v>
      </c>
      <c r="I132" s="32">
        <f t="shared" si="1"/>
        <v>375000</v>
      </c>
      <c r="J132" s="29"/>
      <c r="K132" s="27"/>
      <c r="L132" s="30"/>
    </row>
    <row r="133" spans="1:12" ht="16.5" x14ac:dyDescent="0.3">
      <c r="A133" s="23"/>
      <c r="B133" s="48"/>
      <c r="C133" s="60" t="s">
        <v>127</v>
      </c>
      <c r="D133" s="61">
        <v>12</v>
      </c>
      <c r="E133" s="61" t="s">
        <v>104</v>
      </c>
      <c r="F133" s="61"/>
      <c r="G133" s="33">
        <f>G90</f>
        <v>1666.6666666666667</v>
      </c>
      <c r="H133" s="32">
        <f t="shared" si="0"/>
        <v>20000</v>
      </c>
      <c r="I133" s="32">
        <f t="shared" si="1"/>
        <v>240000</v>
      </c>
      <c r="J133" s="29"/>
      <c r="K133" s="27"/>
      <c r="L133" s="30"/>
    </row>
    <row r="134" spans="1:12" ht="16.5" x14ac:dyDescent="0.3">
      <c r="A134" s="23"/>
      <c r="B134" s="48"/>
      <c r="C134" s="60" t="s">
        <v>173</v>
      </c>
      <c r="D134" s="61">
        <v>50</v>
      </c>
      <c r="E134" s="61" t="s">
        <v>104</v>
      </c>
      <c r="F134" s="61"/>
      <c r="G134" s="33">
        <f>G89</f>
        <v>916.66666666666674</v>
      </c>
      <c r="H134" s="32">
        <f t="shared" si="0"/>
        <v>45833.333333333336</v>
      </c>
      <c r="I134" s="32">
        <f t="shared" si="1"/>
        <v>550000</v>
      </c>
      <c r="J134" s="29"/>
      <c r="K134" s="27"/>
      <c r="L134" s="30"/>
    </row>
    <row r="135" spans="1:12" ht="16.5" x14ac:dyDescent="0.3">
      <c r="A135" s="23"/>
      <c r="B135" s="48"/>
      <c r="C135" s="62" t="s">
        <v>105</v>
      </c>
      <c r="D135" s="63">
        <v>5</v>
      </c>
      <c r="E135" s="63" t="s">
        <v>104</v>
      </c>
      <c r="F135" s="63"/>
      <c r="G135" s="37">
        <f>G47</f>
        <v>5000</v>
      </c>
      <c r="H135" s="36">
        <f t="shared" si="0"/>
        <v>25000</v>
      </c>
      <c r="I135" s="36">
        <f t="shared" si="1"/>
        <v>300000</v>
      </c>
      <c r="J135" s="34" t="s">
        <v>75</v>
      </c>
      <c r="K135" s="27"/>
      <c r="L135" s="30"/>
    </row>
    <row r="136" spans="1:12" ht="16.5" x14ac:dyDescent="0.3">
      <c r="A136" s="23"/>
      <c r="B136" s="48"/>
      <c r="C136" s="64"/>
      <c r="D136" s="61"/>
      <c r="E136" s="61"/>
      <c r="F136" s="61"/>
      <c r="G136" s="38">
        <f>SUM(G130:G135)</f>
        <v>30500.000000000004</v>
      </c>
      <c r="H136" s="38">
        <f>SUM(H130:H135)</f>
        <v>205416.66666666669</v>
      </c>
      <c r="I136" s="38">
        <f>SUM(I130:I135)</f>
        <v>2465000</v>
      </c>
      <c r="J136" s="29"/>
      <c r="K136" s="27"/>
      <c r="L136" s="30" t="s">
        <v>100</v>
      </c>
    </row>
    <row r="137" spans="1:12" ht="17.25" thickBot="1" x14ac:dyDescent="0.3">
      <c r="A137" s="23"/>
      <c r="B137" s="65"/>
      <c r="C137" s="66"/>
      <c r="D137" s="67"/>
      <c r="E137" s="67"/>
      <c r="F137" s="67"/>
      <c r="G137" s="38"/>
      <c r="H137" s="38"/>
      <c r="I137" s="38"/>
      <c r="J137" s="29"/>
      <c r="K137" s="27"/>
      <c r="L137" s="30"/>
    </row>
    <row r="138" spans="1:12" ht="17.25" thickBot="1" x14ac:dyDescent="0.3">
      <c r="A138" s="245" t="s">
        <v>202</v>
      </c>
      <c r="B138" s="246"/>
      <c r="C138" s="246"/>
      <c r="D138" s="246"/>
      <c r="E138" s="246"/>
      <c r="F138" s="249"/>
      <c r="G138" s="68">
        <f>+G136+G127+G119+G109</f>
        <v>3638523.9985753987</v>
      </c>
      <c r="H138" s="68">
        <f>+H136+H127+H119+H109</f>
        <v>11029488.662392862</v>
      </c>
      <c r="I138" s="68">
        <f>+I136+I127+I119+I109+I112</f>
        <v>147473863.94871435</v>
      </c>
      <c r="J138" s="69"/>
      <c r="K138" s="70"/>
      <c r="L138" s="71" t="s">
        <v>86</v>
      </c>
    </row>
    <row r="139" spans="1:12" ht="16.5" x14ac:dyDescent="0.25">
      <c r="A139" s="39" t="s">
        <v>109</v>
      </c>
      <c r="B139" s="24" t="s">
        <v>110</v>
      </c>
      <c r="C139" s="72"/>
      <c r="D139" s="26"/>
      <c r="E139" s="26"/>
      <c r="F139" s="26"/>
      <c r="G139" s="32">
        <f>G138*10%</f>
        <v>363852.39985753992</v>
      </c>
      <c r="H139" s="32">
        <f>+H138*8%</f>
        <v>882359.09299142903</v>
      </c>
      <c r="I139" s="32">
        <f>+I138*8%</f>
        <v>11797909.115897147</v>
      </c>
      <c r="J139" s="29"/>
      <c r="K139" s="73"/>
      <c r="L139" s="30" t="s">
        <v>108</v>
      </c>
    </row>
    <row r="140" spans="1:12" ht="16.5" x14ac:dyDescent="0.25">
      <c r="A140" s="39" t="s">
        <v>112</v>
      </c>
      <c r="B140" s="24" t="s">
        <v>113</v>
      </c>
      <c r="C140" s="44"/>
      <c r="D140" s="26">
        <f>D114</f>
        <v>3</v>
      </c>
      <c r="E140" s="26" t="s">
        <v>72</v>
      </c>
      <c r="F140" s="26"/>
      <c r="G140" s="32">
        <f>+G109/12</f>
        <v>264853.97638680559</v>
      </c>
      <c r="H140" s="33">
        <f>+G140*D140</f>
        <v>794561.92916041682</v>
      </c>
      <c r="I140" s="32">
        <f>+H140*12</f>
        <v>9534743.149925001</v>
      </c>
      <c r="J140" s="29"/>
      <c r="K140" s="27"/>
      <c r="L140" s="30" t="s">
        <v>111</v>
      </c>
    </row>
    <row r="141" spans="1:12" ht="17.25" thickBot="1" x14ac:dyDescent="0.3">
      <c r="A141" s="39" t="s">
        <v>117</v>
      </c>
      <c r="B141" s="15" t="s">
        <v>118</v>
      </c>
      <c r="C141" s="44"/>
      <c r="D141" s="26">
        <f>D116</f>
        <v>3</v>
      </c>
      <c r="E141" s="26" t="s">
        <v>72</v>
      </c>
      <c r="F141" s="26"/>
      <c r="G141" s="32">
        <f>G96</f>
        <v>50000</v>
      </c>
      <c r="H141" s="33">
        <f>G141*D141</f>
        <v>150000</v>
      </c>
      <c r="I141" s="32">
        <f>+H141*12</f>
        <v>1800000</v>
      </c>
      <c r="J141" s="29"/>
      <c r="K141" s="27"/>
      <c r="L141" s="30" t="s">
        <v>114</v>
      </c>
    </row>
    <row r="142" spans="1:12" ht="17.25" thickBot="1" x14ac:dyDescent="0.3">
      <c r="A142" s="245" t="s">
        <v>128</v>
      </c>
      <c r="B142" s="246"/>
      <c r="C142" s="246"/>
      <c r="D142" s="246"/>
      <c r="E142" s="246"/>
      <c r="F142" s="246"/>
      <c r="G142" s="246"/>
      <c r="H142" s="74">
        <f>SUM(H138:H141)</f>
        <v>12856409.684544707</v>
      </c>
      <c r="I142" s="74">
        <f>SUM(I138:I141)</f>
        <v>170606516.21453649</v>
      </c>
      <c r="J142" s="69"/>
      <c r="K142" s="75"/>
      <c r="L142" s="71" t="s">
        <v>133</v>
      </c>
    </row>
    <row r="143" spans="1:12" ht="18.75" thickBot="1" x14ac:dyDescent="0.3">
      <c r="A143" s="245" t="s">
        <v>205</v>
      </c>
      <c r="B143" s="246"/>
      <c r="C143" s="246"/>
      <c r="D143" s="246"/>
      <c r="E143" s="246"/>
      <c r="F143" s="246"/>
      <c r="G143" s="246"/>
      <c r="H143" s="246"/>
      <c r="I143" s="74" t="e">
        <f>#REF!</f>
        <v>#REF!</v>
      </c>
      <c r="J143" s="69" t="s">
        <v>123</v>
      </c>
      <c r="K143" s="77"/>
      <c r="L143" s="71"/>
    </row>
    <row r="144" spans="1:12" ht="16.5" thickBot="1" x14ac:dyDescent="0.3">
      <c r="A144" s="247" t="s">
        <v>122</v>
      </c>
      <c r="B144" s="248"/>
      <c r="C144" s="248"/>
      <c r="D144" s="248"/>
      <c r="E144" s="248"/>
      <c r="F144" s="248"/>
      <c r="G144" s="248"/>
      <c r="H144" s="248"/>
      <c r="I144" s="194" t="e">
        <f>I142/I143</f>
        <v>#REF!</v>
      </c>
      <c r="J144" s="78"/>
      <c r="K144" s="79"/>
      <c r="L144" s="80"/>
    </row>
    <row r="146" spans="1:12" ht="21" customHeight="1" thickBot="1" x14ac:dyDescent="0.3"/>
    <row r="147" spans="1:12" x14ac:dyDescent="0.25">
      <c r="A147" s="227" t="s">
        <v>58</v>
      </c>
      <c r="B147" s="229" t="s">
        <v>59</v>
      </c>
      <c r="C147" s="230"/>
      <c r="D147" s="233" t="s">
        <v>60</v>
      </c>
      <c r="E147" s="233" t="s">
        <v>61</v>
      </c>
      <c r="F147" s="235" t="s">
        <v>62</v>
      </c>
      <c r="G147" s="237" t="s">
        <v>63</v>
      </c>
      <c r="H147" s="237" t="s">
        <v>64</v>
      </c>
      <c r="I147" s="239" t="s">
        <v>65</v>
      </c>
      <c r="J147" s="240"/>
      <c r="K147" s="229" t="s">
        <v>66</v>
      </c>
      <c r="L147" s="243"/>
    </row>
    <row r="148" spans="1:12" ht="16.5" thickBot="1" x14ac:dyDescent="0.3">
      <c r="A148" s="228"/>
      <c r="B148" s="231"/>
      <c r="C148" s="232"/>
      <c r="D148" s="234"/>
      <c r="E148" s="234"/>
      <c r="F148" s="236"/>
      <c r="G148" s="238"/>
      <c r="H148" s="238"/>
      <c r="I148" s="241"/>
      <c r="J148" s="242"/>
      <c r="K148" s="231"/>
      <c r="L148" s="244"/>
    </row>
    <row r="149" spans="1:12" ht="18" thickTop="1" thickBot="1" x14ac:dyDescent="0.3">
      <c r="A149" s="188" t="s">
        <v>206</v>
      </c>
      <c r="B149" s="188"/>
      <c r="C149" s="189"/>
      <c r="D149" s="190"/>
      <c r="E149" s="190"/>
      <c r="F149" s="190"/>
      <c r="G149" s="191"/>
      <c r="H149" s="191"/>
      <c r="I149" s="191"/>
      <c r="J149" s="191"/>
      <c r="K149" s="189"/>
      <c r="L149" s="192"/>
    </row>
    <row r="150" spans="1:12" ht="17.25" thickTop="1" x14ac:dyDescent="0.25">
      <c r="A150" s="23"/>
      <c r="B150" s="27"/>
      <c r="C150" s="44"/>
      <c r="D150" s="40"/>
      <c r="E150" s="40"/>
      <c r="F150" s="40"/>
      <c r="G150" s="38"/>
      <c r="H150" s="38"/>
      <c r="I150" s="38"/>
      <c r="J150" s="29"/>
      <c r="K150" s="27"/>
      <c r="L150" s="30"/>
    </row>
    <row r="151" spans="1:12" ht="16.5" x14ac:dyDescent="0.25">
      <c r="A151" s="14" t="s">
        <v>134</v>
      </c>
      <c r="B151" s="15" t="s">
        <v>135</v>
      </c>
      <c r="C151" s="16"/>
      <c r="D151" s="40"/>
      <c r="E151" s="40"/>
      <c r="F151" s="40"/>
      <c r="G151" s="38"/>
      <c r="H151" s="38"/>
      <c r="I151" s="38"/>
      <c r="J151" s="29"/>
      <c r="K151" s="27"/>
      <c r="L151" s="30"/>
    </row>
    <row r="152" spans="1:12" ht="16.5" x14ac:dyDescent="0.25">
      <c r="A152" s="23"/>
      <c r="B152" s="24">
        <v>1</v>
      </c>
      <c r="C152" s="25" t="s">
        <v>70</v>
      </c>
      <c r="D152" s="26"/>
      <c r="E152" s="26"/>
      <c r="F152" s="26"/>
      <c r="G152" s="27"/>
      <c r="H152" s="28"/>
      <c r="I152" s="27"/>
      <c r="J152" s="29"/>
      <c r="K152" s="27"/>
      <c r="L152" s="30"/>
    </row>
    <row r="153" spans="1:12" ht="16.5" x14ac:dyDescent="0.25">
      <c r="A153" s="23"/>
      <c r="B153" s="27"/>
      <c r="C153" s="31" t="s">
        <v>71</v>
      </c>
      <c r="D153" s="26">
        <v>2</v>
      </c>
      <c r="E153" s="26" t="s">
        <v>72</v>
      </c>
      <c r="F153" s="26">
        <v>24</v>
      </c>
      <c r="G153" s="32">
        <f>G107</f>
        <v>2383685.7874812502</v>
      </c>
      <c r="H153" s="33">
        <f>+G153*D153</f>
        <v>4767371.5749625005</v>
      </c>
      <c r="I153" s="32">
        <f>+H153*12</f>
        <v>57208458.899550006</v>
      </c>
      <c r="J153" s="29"/>
      <c r="K153" s="27" t="s">
        <v>73</v>
      </c>
      <c r="L153" s="30"/>
    </row>
    <row r="154" spans="1:12" ht="16.5" x14ac:dyDescent="0.25">
      <c r="A154" s="23"/>
      <c r="B154" s="117"/>
      <c r="C154" s="34" t="s">
        <v>74</v>
      </c>
      <c r="D154" s="35">
        <v>2</v>
      </c>
      <c r="E154" s="35" t="s">
        <v>72</v>
      </c>
      <c r="F154" s="35">
        <v>24</v>
      </c>
      <c r="G154" s="36">
        <f>G108</f>
        <v>794561.92916041671</v>
      </c>
      <c r="H154" s="37">
        <f>+G154*D154</f>
        <v>1589123.8583208334</v>
      </c>
      <c r="I154" s="36">
        <f>+H154*12</f>
        <v>19069486.299850002</v>
      </c>
      <c r="J154" s="34" t="s">
        <v>75</v>
      </c>
      <c r="K154" s="27" t="s">
        <v>76</v>
      </c>
      <c r="L154" s="30"/>
    </row>
    <row r="155" spans="1:12" ht="16.5" x14ac:dyDescent="0.25">
      <c r="A155" s="23"/>
      <c r="B155" s="27"/>
      <c r="C155" s="31"/>
      <c r="D155" s="26"/>
      <c r="E155" s="26"/>
      <c r="F155" s="26"/>
      <c r="G155" s="38">
        <f>SUM(G153:G154)</f>
        <v>3178247.7166416668</v>
      </c>
      <c r="H155" s="38">
        <f>SUM(H153:H154)</f>
        <v>6356495.4332833337</v>
      </c>
      <c r="I155" s="38">
        <f>SUM(I153:I154)</f>
        <v>76277945.199400008</v>
      </c>
      <c r="J155" s="29"/>
      <c r="K155" s="27"/>
      <c r="L155" s="30" t="s">
        <v>77</v>
      </c>
    </row>
    <row r="156" spans="1:12" ht="16.5" x14ac:dyDescent="0.25">
      <c r="A156" s="23"/>
      <c r="B156" s="27"/>
      <c r="C156" s="31"/>
      <c r="D156" s="26"/>
      <c r="E156" s="26"/>
      <c r="F156" s="26"/>
      <c r="G156" s="38"/>
      <c r="H156" s="38"/>
      <c r="I156" s="38"/>
      <c r="J156" s="29"/>
      <c r="K156" s="27"/>
      <c r="L156" s="30"/>
    </row>
    <row r="157" spans="1:12" ht="16.5" x14ac:dyDescent="0.25">
      <c r="A157" s="39"/>
      <c r="B157" s="24">
        <v>2</v>
      </c>
      <c r="C157" s="25" t="s">
        <v>81</v>
      </c>
      <c r="D157" s="40"/>
      <c r="E157" s="40"/>
      <c r="F157" s="40"/>
      <c r="G157" s="38"/>
      <c r="H157" s="38"/>
      <c r="I157" s="38"/>
      <c r="J157" s="42"/>
      <c r="K157" s="27"/>
      <c r="L157" s="30"/>
    </row>
    <row r="158" spans="1:12" ht="16.5" x14ac:dyDescent="0.25">
      <c r="A158" s="23"/>
      <c r="B158" s="178"/>
      <c r="C158" s="34" t="s">
        <v>82</v>
      </c>
      <c r="D158" s="35">
        <v>2</v>
      </c>
      <c r="E158" s="35" t="s">
        <v>72</v>
      </c>
      <c r="F158" s="35">
        <v>24</v>
      </c>
      <c r="G158" s="37">
        <v>17500</v>
      </c>
      <c r="H158" s="37">
        <f>+G158*D158*F158</f>
        <v>840000</v>
      </c>
      <c r="I158" s="36">
        <f>+H158*12</f>
        <v>10080000</v>
      </c>
      <c r="J158" s="43"/>
      <c r="K158" s="27"/>
      <c r="L158" s="45"/>
    </row>
    <row r="159" spans="1:12" ht="16.5" x14ac:dyDescent="0.25">
      <c r="A159" s="23"/>
      <c r="B159" s="27"/>
      <c r="D159" s="26"/>
      <c r="E159" s="26"/>
      <c r="F159" s="26"/>
      <c r="G159" s="38">
        <f>SUM(G158:G158)</f>
        <v>17500</v>
      </c>
      <c r="H159" s="41">
        <f>SUM(H158:H158)</f>
        <v>840000</v>
      </c>
      <c r="I159" s="38">
        <f>SUM(I158:I158)</f>
        <v>10080000</v>
      </c>
      <c r="J159" s="46"/>
      <c r="K159" s="27"/>
      <c r="L159" s="50" t="s">
        <v>80</v>
      </c>
    </row>
    <row r="160" spans="1:12" ht="16.5" x14ac:dyDescent="0.25">
      <c r="A160" s="23"/>
      <c r="B160" s="27"/>
      <c r="C160" s="31"/>
      <c r="D160" s="26"/>
      <c r="E160" s="26"/>
      <c r="F160" s="26"/>
      <c r="G160" s="38"/>
      <c r="H160" s="41"/>
      <c r="I160" s="38"/>
      <c r="J160" s="46"/>
      <c r="K160" s="27"/>
      <c r="L160" s="47"/>
    </row>
    <row r="161" spans="1:17" ht="16.5" x14ac:dyDescent="0.25">
      <c r="A161" s="39"/>
      <c r="B161" s="24" t="s">
        <v>136</v>
      </c>
      <c r="C161" s="25" t="s">
        <v>88</v>
      </c>
      <c r="D161" s="40"/>
      <c r="E161" s="40"/>
      <c r="F161" s="40"/>
      <c r="G161" s="38"/>
      <c r="H161" s="41"/>
      <c r="I161" s="38"/>
      <c r="J161" s="42"/>
      <c r="K161" s="27"/>
      <c r="L161" s="30"/>
    </row>
    <row r="162" spans="1:17" ht="16.5" x14ac:dyDescent="0.25">
      <c r="A162" s="23"/>
      <c r="B162" s="27"/>
      <c r="C162" s="31" t="str">
        <f>$C114</f>
        <v>-  Jaminan Hari tua (JHT) Nilai A x 3.7%</v>
      </c>
      <c r="D162" s="26">
        <v>2</v>
      </c>
      <c r="E162" s="26" t="s">
        <v>72</v>
      </c>
      <c r="F162" s="26"/>
      <c r="G162" s="32">
        <f>+G155*3.7%</f>
        <v>117595.16551574168</v>
      </c>
      <c r="H162" s="33">
        <f>+G162*D162</f>
        <v>235190.33103148337</v>
      </c>
      <c r="I162" s="32">
        <f>+H162*12</f>
        <v>2822283.9723778004</v>
      </c>
      <c r="J162" s="29"/>
      <c r="K162" s="27" t="str">
        <f>K114</f>
        <v>1% ditanggung oleh pekerja</v>
      </c>
      <c r="L162" s="30"/>
    </row>
    <row r="163" spans="1:17" ht="16.5" x14ac:dyDescent="0.25">
      <c r="A163" s="23"/>
      <c r="B163" s="27"/>
      <c r="C163" s="31" t="str">
        <f>$C115</f>
        <v>- Jaminan Kecelakaan kerja (JKK) Nilai A x 1.74%</v>
      </c>
      <c r="D163" s="26">
        <v>2</v>
      </c>
      <c r="E163" s="26" t="s">
        <v>72</v>
      </c>
      <c r="F163" s="26"/>
      <c r="G163" s="32">
        <f>+G155*1.74%</f>
        <v>55301.510269564998</v>
      </c>
      <c r="H163" s="33">
        <f>+G163*D163</f>
        <v>110603.02053913</v>
      </c>
      <c r="I163" s="32">
        <f>+H163*12</f>
        <v>1327236.2464695601</v>
      </c>
      <c r="J163" s="29"/>
      <c r="K163" s="27"/>
      <c r="L163" s="30"/>
    </row>
    <row r="164" spans="1:17" ht="16.5" x14ac:dyDescent="0.25">
      <c r="A164" s="23"/>
      <c r="B164" s="27"/>
      <c r="C164" s="31" t="str">
        <f>$C116</f>
        <v>- Jaminan Pemeliharaan Kesehatan(JPK) Nilai A x 4%</v>
      </c>
      <c r="D164" s="26">
        <v>2</v>
      </c>
      <c r="E164" s="26" t="s">
        <v>72</v>
      </c>
      <c r="F164" s="26"/>
      <c r="G164" s="32">
        <f>+G155*4%</f>
        <v>127129.90866566668</v>
      </c>
      <c r="H164" s="33">
        <f>+G164*D164</f>
        <v>254259.81733133335</v>
      </c>
      <c r="I164" s="32">
        <f>+H164*12</f>
        <v>3051117.807976</v>
      </c>
      <c r="J164" s="29"/>
      <c r="K164" s="27"/>
      <c r="L164" s="30"/>
    </row>
    <row r="165" spans="1:17" ht="16.5" x14ac:dyDescent="0.25">
      <c r="A165" s="23"/>
      <c r="B165" s="27"/>
      <c r="C165" s="31" t="str">
        <f>$C117</f>
        <v>- Jaminan Kematian (JK) Nilai A x 0.3%</v>
      </c>
      <c r="D165" s="26">
        <v>2</v>
      </c>
      <c r="E165" s="26" t="s">
        <v>72</v>
      </c>
      <c r="F165" s="26"/>
      <c r="G165" s="32">
        <f>+G155*0.3%</f>
        <v>9534.7431499250015</v>
      </c>
      <c r="H165" s="33">
        <f>+G165*D165</f>
        <v>19069.486299850003</v>
      </c>
      <c r="I165" s="32">
        <f>+H165*12</f>
        <v>228833.83559820004</v>
      </c>
      <c r="J165" s="31"/>
      <c r="K165" s="48"/>
      <c r="L165" s="30"/>
    </row>
    <row r="166" spans="1:17" ht="16.5" x14ac:dyDescent="0.25">
      <c r="A166" s="23"/>
      <c r="B166" s="57"/>
      <c r="C166" s="34" t="str">
        <f>$C118</f>
        <v>- Jaminan Pensiun (JP) Nilai A x 2%</v>
      </c>
      <c r="D166" s="35">
        <v>2</v>
      </c>
      <c r="E166" s="35" t="s">
        <v>72</v>
      </c>
      <c r="F166" s="35"/>
      <c r="G166" s="36">
        <f>G32</f>
        <v>63564.954332833338</v>
      </c>
      <c r="H166" s="37">
        <f>+G166*D166</f>
        <v>127129.90866566668</v>
      </c>
      <c r="I166" s="36">
        <f>+H166*12</f>
        <v>1525558.903988</v>
      </c>
      <c r="J166" s="49" t="s">
        <v>75</v>
      </c>
      <c r="K166" s="48"/>
      <c r="L166" s="30"/>
    </row>
    <row r="167" spans="1:17" ht="16.5" x14ac:dyDescent="0.25">
      <c r="A167" s="23"/>
      <c r="B167" s="27"/>
      <c r="C167" s="29"/>
      <c r="D167" s="40"/>
      <c r="E167" s="40"/>
      <c r="F167" s="40"/>
      <c r="G167" s="38">
        <f>SUM(G162:G166)</f>
        <v>373126.28193373169</v>
      </c>
      <c r="H167" s="38">
        <f>SUM(H162:H166)</f>
        <v>746252.56386746338</v>
      </c>
      <c r="I167" s="38">
        <f>SUM(I162:I166)</f>
        <v>8955030.766409561</v>
      </c>
      <c r="J167" s="29"/>
      <c r="K167" s="32"/>
      <c r="L167" s="30" t="s">
        <v>83</v>
      </c>
    </row>
    <row r="168" spans="1:17" ht="16.5" x14ac:dyDescent="0.25">
      <c r="A168" s="23"/>
      <c r="B168" s="27"/>
      <c r="C168" s="31"/>
      <c r="D168" s="40"/>
      <c r="E168" s="40"/>
      <c r="F168" s="40"/>
      <c r="G168" s="38"/>
      <c r="H168" s="38"/>
      <c r="I168" s="38"/>
      <c r="J168" s="29"/>
      <c r="K168" s="27"/>
      <c r="L168" s="50"/>
    </row>
    <row r="169" spans="1:17" ht="16.5" x14ac:dyDescent="0.25">
      <c r="A169" s="14" t="s">
        <v>95</v>
      </c>
      <c r="B169" s="24" t="s">
        <v>96</v>
      </c>
      <c r="C169" s="51"/>
      <c r="D169" s="40"/>
      <c r="E169" s="40"/>
      <c r="F169" s="40"/>
      <c r="G169" s="38"/>
      <c r="H169" s="41"/>
      <c r="I169" s="38"/>
      <c r="J169" s="42"/>
      <c r="K169" s="27"/>
      <c r="L169" s="30"/>
    </row>
    <row r="170" spans="1:17" ht="16.5" x14ac:dyDescent="0.25">
      <c r="A170" s="39"/>
      <c r="B170" s="24">
        <v>1</v>
      </c>
      <c r="C170" s="25" t="s">
        <v>97</v>
      </c>
      <c r="D170" s="40"/>
      <c r="E170" s="40"/>
      <c r="F170" s="40"/>
      <c r="G170" s="38"/>
      <c r="H170" s="41"/>
      <c r="I170" s="38"/>
      <c r="J170" s="42"/>
      <c r="K170" s="27"/>
      <c r="L170" s="30"/>
    </row>
    <row r="171" spans="1:17" ht="20.25" x14ac:dyDescent="0.25">
      <c r="A171" s="23"/>
      <c r="B171" s="52"/>
      <c r="C171" s="31" t="str">
        <f>$C37</f>
        <v>- Pakaian Kerja (1 pasang / tahun)</v>
      </c>
      <c r="D171" s="26">
        <v>2</v>
      </c>
      <c r="E171" s="26" t="s">
        <v>72</v>
      </c>
      <c r="F171" s="26"/>
      <c r="G171" s="32">
        <f>G81</f>
        <v>32083.333333333336</v>
      </c>
      <c r="H171" s="33">
        <f>+G171*D171</f>
        <v>64166.666666666672</v>
      </c>
      <c r="I171" s="32">
        <f>+H171*12</f>
        <v>770000</v>
      </c>
      <c r="J171" s="29"/>
      <c r="K171" s="27"/>
      <c r="L171" s="30"/>
    </row>
    <row r="172" spans="1:17" ht="16.5" x14ac:dyDescent="0.25">
      <c r="A172" s="23"/>
      <c r="B172" s="24"/>
      <c r="C172" s="31" t="str">
        <f>$C38</f>
        <v>- Safety Shoes (1 pasang / tahun)</v>
      </c>
      <c r="D172" s="26">
        <v>2</v>
      </c>
      <c r="E172" s="26" t="s">
        <v>72</v>
      </c>
      <c r="F172" s="26"/>
      <c r="G172" s="33">
        <f>G124</f>
        <v>18333.333333333336</v>
      </c>
      <c r="H172" s="33">
        <f>+G172*D172</f>
        <v>36666.666666666672</v>
      </c>
      <c r="I172" s="32">
        <f>+H172*12</f>
        <v>440000.00000000006</v>
      </c>
      <c r="J172" s="29"/>
      <c r="K172" s="27"/>
      <c r="L172" s="30"/>
      <c r="O172" t="s">
        <v>207</v>
      </c>
    </row>
    <row r="173" spans="1:17" ht="16.5" x14ac:dyDescent="0.25">
      <c r="A173" s="23"/>
      <c r="B173" s="24"/>
      <c r="C173" s="31" t="str">
        <f>$C39</f>
        <v>- Safety Helmet berwarna biru muda (1 pc / tahun)</v>
      </c>
      <c r="D173" s="26">
        <v>2</v>
      </c>
      <c r="E173" s="26" t="s">
        <v>72</v>
      </c>
      <c r="F173" s="26"/>
      <c r="G173" s="33">
        <f>G125</f>
        <v>5500</v>
      </c>
      <c r="H173" s="33">
        <f>+G173*D173</f>
        <v>11000</v>
      </c>
      <c r="I173" s="32">
        <f>+H173*12</f>
        <v>132000</v>
      </c>
      <c r="J173" s="29"/>
      <c r="K173" s="27"/>
      <c r="L173" s="30"/>
      <c r="O173" t="s">
        <v>213</v>
      </c>
      <c r="P173" s="106">
        <v>17000000</v>
      </c>
    </row>
    <row r="174" spans="1:17" ht="16.5" x14ac:dyDescent="0.25">
      <c r="A174" s="23"/>
      <c r="B174" s="24"/>
      <c r="C174" s="34" t="str">
        <f>$C40</f>
        <v>- Kaos Tangan Katun  (4 pasang/ Bulan)</v>
      </c>
      <c r="D174" s="35">
        <v>2</v>
      </c>
      <c r="E174" s="35" t="s">
        <v>72</v>
      </c>
      <c r="F174" s="35"/>
      <c r="G174" s="37">
        <f>G126</f>
        <v>733.33333333333337</v>
      </c>
      <c r="H174" s="37">
        <f>+G174*D174</f>
        <v>1466.6666666666667</v>
      </c>
      <c r="I174" s="36">
        <f>+H174*12</f>
        <v>17600</v>
      </c>
      <c r="J174" s="34" t="s">
        <v>75</v>
      </c>
      <c r="K174" s="27"/>
      <c r="L174" s="30"/>
      <c r="O174" t="s">
        <v>209</v>
      </c>
      <c r="P174" s="106">
        <f>650000/12</f>
        <v>54166.666666666664</v>
      </c>
      <c r="Q174" s="109"/>
    </row>
    <row r="175" spans="1:17" ht="16.5" x14ac:dyDescent="0.25">
      <c r="A175" s="23"/>
      <c r="B175" s="48"/>
      <c r="C175" s="44"/>
      <c r="D175" s="26"/>
      <c r="E175" s="26"/>
      <c r="F175" s="26"/>
      <c r="G175" s="38">
        <f>SUM(G171:G174)</f>
        <v>56650.000000000007</v>
      </c>
      <c r="H175" s="38">
        <f>SUM(H171:H174)</f>
        <v>113300.00000000001</v>
      </c>
      <c r="I175" s="38">
        <f>SUM(I171:I174)</f>
        <v>1359600</v>
      </c>
      <c r="J175" s="29"/>
      <c r="K175" s="27"/>
      <c r="L175" s="30" t="s">
        <v>85</v>
      </c>
      <c r="O175" t="s">
        <v>210</v>
      </c>
      <c r="P175" s="106">
        <f>2500000/12</f>
        <v>208333.33333333334</v>
      </c>
    </row>
    <row r="176" spans="1:17" ht="16.5" x14ac:dyDescent="0.25">
      <c r="A176" s="23"/>
      <c r="B176" s="48"/>
      <c r="C176" s="29"/>
      <c r="D176" s="26"/>
      <c r="E176" s="26"/>
      <c r="F176" s="26"/>
      <c r="G176" s="38"/>
      <c r="H176" s="38"/>
      <c r="I176" s="38"/>
      <c r="J176" s="29"/>
      <c r="K176" s="27"/>
      <c r="L176" s="30"/>
      <c r="O176" t="s">
        <v>211</v>
      </c>
      <c r="P176" s="106">
        <f>2000000/12</f>
        <v>166666.66666666666</v>
      </c>
    </row>
    <row r="177" spans="1:17" ht="16.5" x14ac:dyDescent="0.25">
      <c r="A177" s="23"/>
      <c r="B177" s="59">
        <v>2</v>
      </c>
      <c r="C177" s="25" t="s">
        <v>101</v>
      </c>
      <c r="D177" s="26"/>
      <c r="E177" s="26"/>
      <c r="F177" s="26"/>
      <c r="G177" s="38"/>
      <c r="H177" s="38"/>
      <c r="I177" s="38"/>
      <c r="J177" s="29"/>
      <c r="K177" s="27"/>
      <c r="L177" s="30"/>
      <c r="O177" s="185" t="s">
        <v>212</v>
      </c>
      <c r="P177" s="186">
        <f>20*24*15600</f>
        <v>7488000</v>
      </c>
      <c r="Q177" s="187" t="s">
        <v>75</v>
      </c>
    </row>
    <row r="178" spans="1:17" ht="16.5" x14ac:dyDescent="0.3">
      <c r="A178" s="23"/>
      <c r="B178" s="48"/>
      <c r="C178" s="60" t="s">
        <v>214</v>
      </c>
      <c r="D178" s="61">
        <v>2</v>
      </c>
      <c r="E178" s="61" t="s">
        <v>102</v>
      </c>
      <c r="F178" s="26"/>
      <c r="G178" s="33">
        <f>P178</f>
        <v>24917166.666666668</v>
      </c>
      <c r="H178" s="32">
        <f>P178*D178</f>
        <v>49834333.333333336</v>
      </c>
      <c r="I178" s="32">
        <f>+H178*12</f>
        <v>598012000</v>
      </c>
      <c r="J178" s="29"/>
      <c r="K178" s="252" t="s">
        <v>216</v>
      </c>
      <c r="L178" s="253"/>
      <c r="P178" s="184">
        <f>SUM(P173:P177)</f>
        <v>24917166.666666668</v>
      </c>
    </row>
    <row r="179" spans="1:17" ht="16.5" x14ac:dyDescent="0.3">
      <c r="A179" s="23"/>
      <c r="B179" s="48"/>
      <c r="C179" s="60"/>
      <c r="D179" s="61"/>
      <c r="E179" s="61"/>
      <c r="F179" s="26"/>
      <c r="G179" s="33"/>
      <c r="H179" s="32"/>
      <c r="I179" s="32"/>
      <c r="J179" s="29"/>
      <c r="K179" s="252"/>
      <c r="L179" s="253"/>
      <c r="Q179" s="107"/>
    </row>
    <row r="180" spans="1:17" ht="16.5" x14ac:dyDescent="0.3">
      <c r="A180" s="23"/>
      <c r="B180" s="54"/>
      <c r="C180" s="62" t="s">
        <v>138</v>
      </c>
      <c r="D180" s="63">
        <v>0</v>
      </c>
      <c r="E180" s="63" t="s">
        <v>102</v>
      </c>
      <c r="F180" s="35"/>
      <c r="G180" s="37">
        <f>P181/12</f>
        <v>1562500</v>
      </c>
      <c r="H180" s="36">
        <f>+G180*D180</f>
        <v>0</v>
      </c>
      <c r="I180" s="36">
        <f>+H180*12</f>
        <v>0</v>
      </c>
      <c r="J180" s="49" t="s">
        <v>75</v>
      </c>
      <c r="K180" s="27" t="s">
        <v>137</v>
      </c>
      <c r="L180" s="30"/>
    </row>
    <row r="181" spans="1:17" ht="16.5" x14ac:dyDescent="0.3">
      <c r="A181" s="53"/>
      <c r="B181" s="54"/>
      <c r="C181" s="81"/>
      <c r="D181" s="63"/>
      <c r="E181" s="63"/>
      <c r="F181" s="63"/>
      <c r="G181" s="56">
        <f>SUM(G178:G180)</f>
        <v>26479666.666666668</v>
      </c>
      <c r="H181" s="56">
        <f>SUM(H178:H180)</f>
        <v>49834333.333333336</v>
      </c>
      <c r="I181" s="56">
        <f>SUM(I178:I180)</f>
        <v>598012000</v>
      </c>
      <c r="J181" s="55"/>
      <c r="K181" s="57"/>
      <c r="L181" s="58" t="s">
        <v>100</v>
      </c>
      <c r="O181" t="s">
        <v>208</v>
      </c>
      <c r="P181" s="106">
        <f>25000000*75%</f>
        <v>18750000</v>
      </c>
      <c r="Q181" s="109" t="s">
        <v>215</v>
      </c>
    </row>
    <row r="182" spans="1:17" ht="17.25" thickBot="1" x14ac:dyDescent="0.3">
      <c r="A182" s="23"/>
      <c r="B182" s="65"/>
      <c r="C182" s="66"/>
      <c r="D182" s="67"/>
      <c r="E182" s="67"/>
      <c r="F182" s="67"/>
      <c r="G182" s="38"/>
      <c r="H182" s="38"/>
      <c r="I182" s="38"/>
      <c r="J182" s="29"/>
      <c r="K182" s="27"/>
      <c r="L182" s="30"/>
    </row>
    <row r="183" spans="1:17" ht="17.25" thickBot="1" x14ac:dyDescent="0.3">
      <c r="A183" s="245" t="s">
        <v>202</v>
      </c>
      <c r="B183" s="246"/>
      <c r="C183" s="246"/>
      <c r="D183" s="246"/>
      <c r="E183" s="246"/>
      <c r="F183" s="249"/>
      <c r="G183" s="68">
        <f>+G181+G175+G167+G159+G155</f>
        <v>30105190.665242068</v>
      </c>
      <c r="H183" s="68">
        <f>+H181+H175+H167+H159+H155</f>
        <v>57890381.330484137</v>
      </c>
      <c r="I183" s="68">
        <f>+I181+I175+I167+I159+I155</f>
        <v>694684575.96580958</v>
      </c>
      <c r="J183" s="69"/>
      <c r="K183" s="70"/>
      <c r="L183" s="71" t="s">
        <v>86</v>
      </c>
    </row>
    <row r="184" spans="1:17" ht="16.5" x14ac:dyDescent="0.25">
      <c r="A184" s="14" t="s">
        <v>109</v>
      </c>
      <c r="B184" s="24" t="s">
        <v>110</v>
      </c>
      <c r="C184" s="72"/>
      <c r="D184" s="26"/>
      <c r="E184" s="26"/>
      <c r="F184" s="26"/>
      <c r="G184" s="32">
        <f>G183*10%</f>
        <v>3010519.0665242071</v>
      </c>
      <c r="H184" s="32">
        <f>+H183*8%</f>
        <v>4631230.5064387312</v>
      </c>
      <c r="I184" s="32">
        <f>+I183*8%</f>
        <v>55574766.077264771</v>
      </c>
      <c r="J184" s="29"/>
      <c r="K184" s="73"/>
      <c r="L184" s="30" t="s">
        <v>108</v>
      </c>
    </row>
    <row r="185" spans="1:17" ht="16.5" x14ac:dyDescent="0.25">
      <c r="A185" s="14" t="s">
        <v>112</v>
      </c>
      <c r="B185" s="24" t="s">
        <v>113</v>
      </c>
      <c r="C185" s="44"/>
      <c r="D185" s="26">
        <f>D153</f>
        <v>2</v>
      </c>
      <c r="E185" s="26" t="s">
        <v>72</v>
      </c>
      <c r="F185" s="26"/>
      <c r="G185" s="32">
        <f>G53</f>
        <v>381389.725997</v>
      </c>
      <c r="H185" s="33">
        <f>+G185*D185</f>
        <v>762779.451994</v>
      </c>
      <c r="I185" s="32">
        <f>+H185*12</f>
        <v>9153353.423928</v>
      </c>
      <c r="J185" s="29"/>
      <c r="K185" s="27"/>
      <c r="L185" s="30" t="s">
        <v>111</v>
      </c>
    </row>
    <row r="186" spans="1:17" ht="17.25" thickBot="1" x14ac:dyDescent="0.3">
      <c r="A186" s="14" t="s">
        <v>115</v>
      </c>
      <c r="B186" s="15" t="s">
        <v>118</v>
      </c>
      <c r="C186" s="44"/>
      <c r="D186" s="26">
        <f>D153</f>
        <v>2</v>
      </c>
      <c r="E186" s="26" t="s">
        <v>72</v>
      </c>
      <c r="F186" s="26"/>
      <c r="G186" s="32">
        <v>50000</v>
      </c>
      <c r="H186" s="33">
        <f>G186*D186</f>
        <v>100000</v>
      </c>
      <c r="I186" s="32">
        <f>+H186*12</f>
        <v>1200000</v>
      </c>
      <c r="J186" s="29"/>
      <c r="K186" s="27"/>
      <c r="L186" s="30" t="s">
        <v>114</v>
      </c>
    </row>
    <row r="187" spans="1:17" ht="17.25" thickBot="1" x14ac:dyDescent="0.3">
      <c r="A187" s="245" t="s">
        <v>120</v>
      </c>
      <c r="B187" s="246"/>
      <c r="C187" s="246"/>
      <c r="D187" s="246"/>
      <c r="E187" s="246"/>
      <c r="F187" s="246"/>
      <c r="G187" s="246"/>
      <c r="H187" s="74">
        <f>SUM(H183:H186)</f>
        <v>63384391.288916871</v>
      </c>
      <c r="I187" s="74">
        <f>SUM(I183:I186)</f>
        <v>760612695.46700239</v>
      </c>
      <c r="J187" s="69"/>
      <c r="K187" s="75"/>
      <c r="L187" s="71" t="s">
        <v>139</v>
      </c>
    </row>
    <row r="188" spans="1:17" ht="17.25" thickBot="1" x14ac:dyDescent="0.3">
      <c r="A188" s="245" t="s">
        <v>217</v>
      </c>
      <c r="B188" s="246"/>
      <c r="C188" s="246"/>
      <c r="D188" s="246"/>
      <c r="E188" s="246"/>
      <c r="F188" s="246"/>
      <c r="G188" s="246"/>
      <c r="H188" s="246"/>
      <c r="I188" s="74">
        <f>8*24*12</f>
        <v>2304</v>
      </c>
      <c r="J188" s="69" t="s">
        <v>140</v>
      </c>
      <c r="K188" s="77"/>
      <c r="L188" s="71"/>
    </row>
    <row r="189" spans="1:17" ht="16.5" thickBot="1" x14ac:dyDescent="0.3">
      <c r="A189" s="247" t="s">
        <v>141</v>
      </c>
      <c r="B189" s="248"/>
      <c r="C189" s="248"/>
      <c r="D189" s="248"/>
      <c r="E189" s="248"/>
      <c r="F189" s="248"/>
      <c r="G189" s="248"/>
      <c r="H189" s="248"/>
      <c r="I189" s="193">
        <f>I187/I188</f>
        <v>330127.03796310868</v>
      </c>
      <c r="J189" s="78"/>
      <c r="K189" s="79"/>
      <c r="L189" s="80"/>
    </row>
    <row r="190" spans="1:17" ht="17.25" thickBot="1" x14ac:dyDescent="0.3">
      <c r="A190" s="29"/>
      <c r="B190" s="29"/>
      <c r="C190" s="29"/>
      <c r="D190" s="82"/>
      <c r="E190" s="82"/>
      <c r="F190" s="82"/>
      <c r="G190" s="77"/>
      <c r="H190" s="77"/>
      <c r="I190" s="83"/>
      <c r="J190" s="29"/>
      <c r="K190" s="29"/>
      <c r="L190" s="84"/>
    </row>
    <row r="191" spans="1:17" ht="17.25" thickBot="1" x14ac:dyDescent="0.3">
      <c r="A191" s="245" t="s">
        <v>142</v>
      </c>
      <c r="B191" s="246"/>
      <c r="C191" s="246"/>
      <c r="D191" s="246"/>
      <c r="E191" s="246"/>
      <c r="F191" s="246"/>
      <c r="G191" s="246"/>
      <c r="H191" s="246"/>
      <c r="I191" s="197" t="e">
        <f>I55+I97+I187+I142</f>
        <v>#REF!</v>
      </c>
      <c r="J191" s="69"/>
      <c r="K191" s="85"/>
      <c r="L191" s="71"/>
    </row>
    <row r="194" spans="1:12" x14ac:dyDescent="0.25">
      <c r="A194" s="86"/>
      <c r="B194" s="86"/>
      <c r="C194" s="87"/>
      <c r="D194" s="86"/>
      <c r="E194" s="87"/>
      <c r="F194" s="88"/>
      <c r="G194" s="86"/>
      <c r="H194" s="86"/>
      <c r="I194" s="225" t="s">
        <v>184</v>
      </c>
      <c r="J194" s="225"/>
      <c r="K194" s="225"/>
      <c r="L194" s="225"/>
    </row>
    <row r="195" spans="1:12" x14ac:dyDescent="0.25">
      <c r="A195" s="222" t="s">
        <v>143</v>
      </c>
      <c r="B195" s="222"/>
      <c r="C195" s="222"/>
      <c r="D195" s="86"/>
      <c r="E195" s="86"/>
      <c r="F195" s="86"/>
      <c r="G195" s="86"/>
      <c r="H195" s="86"/>
      <c r="I195" s="222" t="s">
        <v>144</v>
      </c>
      <c r="J195" s="222"/>
      <c r="K195" s="222"/>
      <c r="L195" s="222"/>
    </row>
    <row r="196" spans="1:12" x14ac:dyDescent="0.25">
      <c r="A196" s="223" t="s">
        <v>145</v>
      </c>
      <c r="B196" s="223"/>
      <c r="C196" s="223"/>
      <c r="D196" s="90"/>
      <c r="E196" s="90"/>
      <c r="F196" s="90"/>
      <c r="G196" s="90"/>
      <c r="H196" s="90"/>
      <c r="I196" s="223" t="s">
        <v>146</v>
      </c>
      <c r="J196" s="223"/>
      <c r="K196" s="223"/>
      <c r="L196" s="223"/>
    </row>
    <row r="197" spans="1:12" x14ac:dyDescent="0.25">
      <c r="A197" s="86"/>
      <c r="B197" s="87"/>
      <c r="C197" s="86"/>
      <c r="D197" s="86"/>
      <c r="E197" s="86"/>
      <c r="F197" s="86"/>
      <c r="G197" s="86"/>
      <c r="H197" s="86"/>
      <c r="I197" s="89"/>
      <c r="J197" s="87"/>
      <c r="K197" s="86"/>
    </row>
    <row r="198" spans="1:12" x14ac:dyDescent="0.25">
      <c r="A198" s="86"/>
      <c r="B198" s="87"/>
      <c r="C198" s="86"/>
      <c r="D198" s="86"/>
      <c r="E198" s="86"/>
      <c r="F198" s="87"/>
      <c r="G198" s="87"/>
      <c r="H198" s="87"/>
      <c r="I198" s="89"/>
      <c r="J198" s="87"/>
      <c r="K198" s="86"/>
    </row>
    <row r="199" spans="1:12" x14ac:dyDescent="0.25">
      <c r="A199" s="91"/>
      <c r="B199" s="87"/>
      <c r="C199" s="86"/>
      <c r="D199" s="86"/>
      <c r="E199" s="86"/>
      <c r="F199" s="87"/>
      <c r="G199" s="87"/>
      <c r="H199" s="87"/>
      <c r="I199" s="89"/>
      <c r="J199" s="87"/>
      <c r="K199" s="86"/>
    </row>
    <row r="200" spans="1:12" x14ac:dyDescent="0.25">
      <c r="A200" s="91"/>
      <c r="B200" s="92"/>
      <c r="C200" s="86"/>
      <c r="D200" s="86"/>
      <c r="E200" s="86"/>
      <c r="F200" s="87"/>
      <c r="G200" s="87"/>
      <c r="H200" s="87"/>
      <c r="I200" s="89"/>
      <c r="J200" s="87"/>
      <c r="K200" s="86"/>
    </row>
    <row r="201" spans="1:12" x14ac:dyDescent="0.25">
      <c r="A201" s="224" t="s">
        <v>147</v>
      </c>
      <c r="B201" s="224"/>
      <c r="C201" s="224"/>
      <c r="D201" s="86"/>
      <c r="E201" s="86"/>
      <c r="F201" s="87"/>
      <c r="G201" s="87"/>
      <c r="H201" s="87"/>
      <c r="I201" s="224" t="s">
        <v>181</v>
      </c>
      <c r="J201" s="224"/>
      <c r="K201" s="224"/>
      <c r="L201" s="224"/>
    </row>
    <row r="202" spans="1:12" x14ac:dyDescent="0.25">
      <c r="A202" s="222" t="s">
        <v>148</v>
      </c>
      <c r="B202" s="222"/>
      <c r="C202" s="222"/>
      <c r="D202" s="86"/>
      <c r="E202" s="86"/>
      <c r="F202" s="86"/>
      <c r="G202" s="86"/>
      <c r="H202" s="86"/>
      <c r="I202" s="222" t="s">
        <v>176</v>
      </c>
      <c r="J202" s="222"/>
      <c r="K202" s="222"/>
      <c r="L202" s="222"/>
    </row>
    <row r="203" spans="1:12" x14ac:dyDescent="0.25">
      <c r="A203" s="86"/>
      <c r="B203" s="86"/>
      <c r="C203" s="87"/>
      <c r="D203" s="222"/>
      <c r="E203" s="222"/>
      <c r="F203" s="222"/>
      <c r="G203" s="222"/>
      <c r="H203" s="222"/>
      <c r="I203" s="86"/>
      <c r="J203" s="87"/>
      <c r="K203" s="86"/>
    </row>
    <row r="204" spans="1:12" x14ac:dyDescent="0.25">
      <c r="A204" s="86"/>
      <c r="B204" s="86"/>
      <c r="C204" s="87"/>
      <c r="D204" s="219"/>
      <c r="E204" s="219"/>
      <c r="F204" s="219"/>
      <c r="G204" s="219"/>
      <c r="H204" s="219"/>
      <c r="I204" s="86"/>
      <c r="J204" s="87"/>
      <c r="K204" s="86"/>
    </row>
    <row r="205" spans="1:12" x14ac:dyDescent="0.25">
      <c r="A205" s="86"/>
      <c r="B205" s="86"/>
      <c r="C205" s="87"/>
      <c r="D205" s="219"/>
      <c r="E205" s="219"/>
      <c r="F205" s="219"/>
      <c r="G205" s="219"/>
      <c r="H205" s="219"/>
      <c r="I205" s="86"/>
      <c r="J205" s="87"/>
      <c r="K205" s="86"/>
    </row>
    <row r="206" spans="1:12" x14ac:dyDescent="0.25">
      <c r="A206" s="86"/>
      <c r="B206" s="86"/>
      <c r="C206" s="87"/>
      <c r="D206" s="86"/>
      <c r="E206" s="93"/>
      <c r="G206" s="86"/>
      <c r="H206" s="86"/>
      <c r="I206" s="86"/>
      <c r="J206" s="87"/>
      <c r="K206" s="86"/>
    </row>
    <row r="207" spans="1:12" x14ac:dyDescent="0.25">
      <c r="A207" s="86"/>
      <c r="B207" s="86"/>
      <c r="C207" s="87"/>
      <c r="D207" s="86"/>
      <c r="E207" s="93"/>
      <c r="G207" s="86"/>
      <c r="H207" s="86"/>
      <c r="I207" s="86"/>
      <c r="J207" s="87"/>
      <c r="K207" s="86"/>
    </row>
    <row r="208" spans="1:12" x14ac:dyDescent="0.25">
      <c r="A208" s="86"/>
      <c r="B208" s="86"/>
      <c r="C208" s="87"/>
      <c r="D208" s="86"/>
      <c r="E208" s="94"/>
      <c r="G208" s="86"/>
      <c r="H208" s="86"/>
      <c r="I208" s="86"/>
      <c r="J208" s="87"/>
      <c r="K208" s="86"/>
    </row>
    <row r="209" spans="1:11" x14ac:dyDescent="0.25">
      <c r="A209" s="86"/>
      <c r="B209" s="86"/>
      <c r="C209" s="87"/>
      <c r="D209" s="86"/>
      <c r="E209" s="94"/>
      <c r="G209" s="86"/>
      <c r="H209" s="86"/>
      <c r="I209" s="86"/>
      <c r="J209" s="87"/>
      <c r="K209" s="86"/>
    </row>
    <row r="210" spans="1:11" x14ac:dyDescent="0.25">
      <c r="A210" s="86"/>
      <c r="B210" s="86"/>
      <c r="C210" s="87"/>
      <c r="D210" s="220"/>
      <c r="E210" s="220"/>
      <c r="F210" s="220"/>
      <c r="G210" s="220"/>
      <c r="H210" s="220"/>
      <c r="I210" s="86"/>
      <c r="J210" s="87"/>
      <c r="K210" s="86"/>
    </row>
    <row r="211" spans="1:11" ht="16.5" x14ac:dyDescent="0.25">
      <c r="A211" s="29"/>
      <c r="B211" s="29"/>
      <c r="C211" s="29"/>
      <c r="D211" s="221"/>
      <c r="E211" s="221"/>
      <c r="F211" s="221"/>
      <c r="G211" s="221"/>
      <c r="H211" s="221"/>
      <c r="I211" s="77"/>
      <c r="J211" s="29"/>
      <c r="K211" s="29"/>
    </row>
  </sheetData>
  <mergeCells count="71">
    <mergeCell ref="K45:L45"/>
    <mergeCell ref="K178:L179"/>
    <mergeCell ref="A191:H191"/>
    <mergeCell ref="A144:H144"/>
    <mergeCell ref="A183:F183"/>
    <mergeCell ref="A187:G187"/>
    <mergeCell ref="A188:H188"/>
    <mergeCell ref="A189:H189"/>
    <mergeCell ref="I102:J103"/>
    <mergeCell ref="K102:L103"/>
    <mergeCell ref="A138:F138"/>
    <mergeCell ref="A142:G142"/>
    <mergeCell ref="A143:H143"/>
    <mergeCell ref="A99:H99"/>
    <mergeCell ref="A102:A103"/>
    <mergeCell ref="B102:C103"/>
    <mergeCell ref="D102:D103"/>
    <mergeCell ref="E102:E103"/>
    <mergeCell ref="F102:F103"/>
    <mergeCell ref="G102:G103"/>
    <mergeCell ref="H102:H103"/>
    <mergeCell ref="I60:J61"/>
    <mergeCell ref="K60:L61"/>
    <mergeCell ref="A93:F93"/>
    <mergeCell ref="A97:G97"/>
    <mergeCell ref="A51:F51"/>
    <mergeCell ref="A98:H98"/>
    <mergeCell ref="A56:H56"/>
    <mergeCell ref="A57:H57"/>
    <mergeCell ref="A60:A61"/>
    <mergeCell ref="B60:C61"/>
    <mergeCell ref="D60:D61"/>
    <mergeCell ref="E60:E61"/>
    <mergeCell ref="F60:F61"/>
    <mergeCell ref="G60:G61"/>
    <mergeCell ref="H60:H61"/>
    <mergeCell ref="F5:F6"/>
    <mergeCell ref="G5:G6"/>
    <mergeCell ref="H5:H6"/>
    <mergeCell ref="I5:J6"/>
    <mergeCell ref="K5:L6"/>
    <mergeCell ref="A2:L2"/>
    <mergeCell ref="A3:L3"/>
    <mergeCell ref="A147:A148"/>
    <mergeCell ref="B147:C148"/>
    <mergeCell ref="D147:D148"/>
    <mergeCell ref="E147:E148"/>
    <mergeCell ref="F147:F148"/>
    <mergeCell ref="G147:G148"/>
    <mergeCell ref="H147:H148"/>
    <mergeCell ref="I147:J148"/>
    <mergeCell ref="K147:L148"/>
    <mergeCell ref="A55:G55"/>
    <mergeCell ref="A5:A6"/>
    <mergeCell ref="B5:C6"/>
    <mergeCell ref="D5:D6"/>
    <mergeCell ref="E5:E6"/>
    <mergeCell ref="I194:L194"/>
    <mergeCell ref="I195:L195"/>
    <mergeCell ref="I196:L196"/>
    <mergeCell ref="I201:L201"/>
    <mergeCell ref="I202:L202"/>
    <mergeCell ref="D204:H204"/>
    <mergeCell ref="D205:H205"/>
    <mergeCell ref="D210:H210"/>
    <mergeCell ref="D211:H211"/>
    <mergeCell ref="A195:C195"/>
    <mergeCell ref="A196:C196"/>
    <mergeCell ref="A201:C201"/>
    <mergeCell ref="A202:C202"/>
    <mergeCell ref="D203:H203"/>
  </mergeCells>
  <printOptions horizontalCentered="1"/>
  <pageMargins left="0.25" right="0.25" top="0.5" bottom="0.5" header="0.3" footer="0.3"/>
  <pageSetup paperSize="9" scale="21" orientation="landscape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5DAC-0A82-AF4A-88CC-F5533294846A}">
  <sheetPr>
    <pageSetUpPr fitToPage="1"/>
  </sheetPr>
  <dimension ref="B2:L14"/>
  <sheetViews>
    <sheetView showGridLines="0" tabSelected="1" topLeftCell="B10" zoomScaleNormal="100" workbookViewId="0">
      <selection activeCell="E28" sqref="E28"/>
    </sheetView>
  </sheetViews>
  <sheetFormatPr defaultColWidth="10.625" defaultRowHeight="15.75" x14ac:dyDescent="0.25"/>
  <cols>
    <col min="1" max="1" width="6.625" customWidth="1"/>
    <col min="2" max="2" width="4" bestFit="1" customWidth="1"/>
    <col min="3" max="3" width="29.125" customWidth="1"/>
    <col min="4" max="4" width="8" bestFit="1" customWidth="1"/>
    <col min="5" max="5" width="16.25" bestFit="1" customWidth="1"/>
    <col min="6" max="6" width="13.625" bestFit="1" customWidth="1"/>
    <col min="7" max="7" width="20.25" bestFit="1" customWidth="1"/>
    <col min="8" max="8" width="17.625" bestFit="1" customWidth="1"/>
    <col min="9" max="9" width="19.625" bestFit="1" customWidth="1"/>
    <col min="10" max="10" width="28" customWidth="1"/>
    <col min="12" max="12" width="17.375" bestFit="1" customWidth="1"/>
  </cols>
  <sheetData>
    <row r="2" spans="2:12" x14ac:dyDescent="0.25">
      <c r="B2" s="255" t="s">
        <v>225</v>
      </c>
      <c r="C2" s="255"/>
      <c r="D2" s="255"/>
      <c r="E2" s="255"/>
      <c r="F2" s="255"/>
      <c r="G2" s="255"/>
      <c r="H2" s="255"/>
      <c r="I2" s="255"/>
      <c r="J2" s="255"/>
    </row>
    <row r="3" spans="2:12" x14ac:dyDescent="0.25">
      <c r="B3" s="256" t="s">
        <v>220</v>
      </c>
      <c r="C3" s="256"/>
      <c r="D3" s="256"/>
      <c r="E3" s="256"/>
      <c r="F3" s="256"/>
      <c r="G3" s="256"/>
      <c r="H3" s="256"/>
      <c r="I3" s="256"/>
      <c r="J3" s="256"/>
    </row>
    <row r="4" spans="2:12" x14ac:dyDescent="0.25">
      <c r="B4" s="257" t="s">
        <v>221</v>
      </c>
      <c r="C4" s="257"/>
      <c r="D4" s="257"/>
      <c r="E4" s="257"/>
      <c r="F4" s="257"/>
      <c r="G4" s="257"/>
      <c r="H4" s="257"/>
      <c r="I4" s="257"/>
      <c r="J4" s="257"/>
    </row>
    <row r="5" spans="2:12" x14ac:dyDescent="0.25">
      <c r="B5" s="95"/>
      <c r="C5" s="96"/>
      <c r="D5" s="95"/>
      <c r="E5" s="96"/>
      <c r="F5" s="96"/>
      <c r="G5" s="96"/>
      <c r="H5" s="96"/>
      <c r="I5" s="96"/>
      <c r="J5" s="95"/>
    </row>
    <row r="6" spans="2:12" ht="30" x14ac:dyDescent="0.25">
      <c r="B6" s="200" t="s">
        <v>0</v>
      </c>
      <c r="C6" s="201" t="s">
        <v>227</v>
      </c>
      <c r="D6" s="200" t="s">
        <v>149</v>
      </c>
      <c r="E6" s="202" t="s">
        <v>228</v>
      </c>
      <c r="F6" s="202" t="s">
        <v>150</v>
      </c>
      <c r="G6" s="202" t="s">
        <v>229</v>
      </c>
      <c r="H6" s="202" t="s">
        <v>218</v>
      </c>
      <c r="I6" s="202" t="s">
        <v>219</v>
      </c>
      <c r="J6" s="200" t="s">
        <v>226</v>
      </c>
    </row>
    <row r="7" spans="2:12" ht="33.950000000000003" customHeight="1" x14ac:dyDescent="0.25">
      <c r="B7" s="98">
        <v>1</v>
      </c>
      <c r="C7" s="99" t="s">
        <v>151</v>
      </c>
      <c r="D7" s="98" t="s">
        <v>152</v>
      </c>
      <c r="E7" s="203">
        <v>474653.08</v>
      </c>
      <c r="F7" s="100"/>
      <c r="G7" s="199">
        <f>E7*F7</f>
        <v>0</v>
      </c>
      <c r="H7" s="199">
        <f>G7*12</f>
        <v>0</v>
      </c>
      <c r="I7" s="199">
        <f>H7*2</f>
        <v>0</v>
      </c>
      <c r="J7" s="98" t="s">
        <v>153</v>
      </c>
    </row>
    <row r="8" spans="2:12" ht="33.950000000000003" customHeight="1" x14ac:dyDescent="0.25">
      <c r="B8" s="98">
        <v>2</v>
      </c>
      <c r="C8" s="99" t="s">
        <v>154</v>
      </c>
      <c r="D8" s="98" t="s">
        <v>152</v>
      </c>
      <c r="E8" s="203">
        <v>385121.91999999993</v>
      </c>
      <c r="F8" s="100"/>
      <c r="G8" s="199">
        <f t="shared" ref="G8:G10" si="0">E8*F8</f>
        <v>0</v>
      </c>
      <c r="H8" s="199">
        <f t="shared" ref="H8:H10" si="1">G8*12</f>
        <v>0</v>
      </c>
      <c r="I8" s="199">
        <f t="shared" ref="I8:I10" si="2">H8*2</f>
        <v>0</v>
      </c>
      <c r="J8" s="98" t="s">
        <v>153</v>
      </c>
    </row>
    <row r="9" spans="2:12" ht="50.1" customHeight="1" x14ac:dyDescent="0.25">
      <c r="B9" s="98">
        <v>3</v>
      </c>
      <c r="C9" s="99" t="s">
        <v>223</v>
      </c>
      <c r="D9" s="98" t="s">
        <v>155</v>
      </c>
      <c r="E9" s="204">
        <v>240</v>
      </c>
      <c r="F9" s="100"/>
      <c r="G9" s="199">
        <f t="shared" si="0"/>
        <v>0</v>
      </c>
      <c r="H9" s="199">
        <f t="shared" si="1"/>
        <v>0</v>
      </c>
      <c r="I9" s="199">
        <f t="shared" si="2"/>
        <v>0</v>
      </c>
      <c r="J9" s="98" t="s">
        <v>153</v>
      </c>
    </row>
    <row r="10" spans="2:12" ht="45" x14ac:dyDescent="0.25">
      <c r="B10" s="98">
        <v>4</v>
      </c>
      <c r="C10" s="99" t="s">
        <v>224</v>
      </c>
      <c r="D10" s="98" t="s">
        <v>155</v>
      </c>
      <c r="E10" s="204">
        <v>168</v>
      </c>
      <c r="F10" s="100"/>
      <c r="G10" s="199">
        <f t="shared" si="0"/>
        <v>0</v>
      </c>
      <c r="H10" s="199">
        <f t="shared" si="1"/>
        <v>0</v>
      </c>
      <c r="I10" s="199">
        <f t="shared" si="2"/>
        <v>0</v>
      </c>
      <c r="J10" s="98" t="s">
        <v>153</v>
      </c>
    </row>
    <row r="11" spans="2:12" ht="23.1" customHeight="1" x14ac:dyDescent="0.25">
      <c r="B11" s="254" t="s">
        <v>183</v>
      </c>
      <c r="C11" s="254"/>
      <c r="D11" s="254"/>
      <c r="E11" s="254"/>
      <c r="F11" s="254"/>
      <c r="G11" s="199">
        <f>SUM(G7:G10)</f>
        <v>0</v>
      </c>
      <c r="H11" s="199">
        <f>SUM(H7:H10)</f>
        <v>0</v>
      </c>
      <c r="I11" s="198">
        <f>SUM(I7:I10)</f>
        <v>0</v>
      </c>
      <c r="J11" s="98"/>
      <c r="L11" s="118"/>
    </row>
    <row r="12" spans="2:12" ht="23.1" customHeight="1" x14ac:dyDescent="0.25">
      <c r="B12" s="254" t="s">
        <v>178</v>
      </c>
      <c r="C12" s="254"/>
      <c r="D12" s="254"/>
      <c r="E12" s="254"/>
      <c r="F12" s="254"/>
      <c r="G12" s="199"/>
      <c r="H12" s="199"/>
      <c r="I12" s="198">
        <f>I11*11%</f>
        <v>0</v>
      </c>
      <c r="J12" s="98"/>
      <c r="L12" s="118"/>
    </row>
    <row r="13" spans="2:12" ht="23.1" customHeight="1" x14ac:dyDescent="0.25">
      <c r="B13" s="254" t="s">
        <v>182</v>
      </c>
      <c r="C13" s="254"/>
      <c r="D13" s="254"/>
      <c r="E13" s="254"/>
      <c r="F13" s="254"/>
      <c r="G13" s="199"/>
      <c r="H13" s="199"/>
      <c r="I13" s="198">
        <f>I11+I12</f>
        <v>0</v>
      </c>
      <c r="J13" s="98"/>
      <c r="L13" s="118"/>
    </row>
    <row r="14" spans="2:12" x14ac:dyDescent="0.25">
      <c r="B14" s="95"/>
      <c r="C14" s="97"/>
      <c r="D14" s="95"/>
      <c r="E14" s="97"/>
      <c r="F14" s="97"/>
      <c r="G14" s="101"/>
      <c r="H14" s="102"/>
      <c r="I14" s="102"/>
      <c r="J14" s="95"/>
    </row>
  </sheetData>
  <mergeCells count="6">
    <mergeCell ref="B13:F13"/>
    <mergeCell ref="B2:J2"/>
    <mergeCell ref="B3:J3"/>
    <mergeCell ref="B4:J4"/>
    <mergeCell ref="B11:F11"/>
    <mergeCell ref="B12:F12"/>
  </mergeCells>
  <printOptions horizontalCentered="1" verticalCentered="1"/>
  <pageMargins left="0.25" right="0.25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1A0A-A25B-3D47-98E6-0FF1FD45AF49}">
  <dimension ref="A3:Z80"/>
  <sheetViews>
    <sheetView zoomScale="117" zoomScaleNormal="117" zoomScaleSheetLayoutView="83" workbookViewId="0">
      <pane xSplit="5" ySplit="5" topLeftCell="I29" activePane="bottomRight" state="frozen"/>
      <selection pane="topRight" activeCell="F1" sqref="F1"/>
      <selection pane="bottomLeft" activeCell="A6" sqref="A6"/>
      <selection pane="bottomRight" activeCell="M47" sqref="M47"/>
    </sheetView>
  </sheetViews>
  <sheetFormatPr defaultColWidth="10.625" defaultRowHeight="15.75" x14ac:dyDescent="0.25"/>
  <cols>
    <col min="1" max="1" width="3.875" style="1" bestFit="1" customWidth="1"/>
    <col min="2" max="2" width="44.125" style="5" customWidth="1"/>
    <col min="3" max="4" width="7.5" style="12" customWidth="1"/>
    <col min="5" max="5" width="8" style="12" customWidth="1"/>
    <col min="6" max="6" width="0.875" customWidth="1"/>
    <col min="7" max="7" width="12.625" style="134" bestFit="1" customWidth="1"/>
    <col min="8" max="8" width="15.875" style="130" bestFit="1" customWidth="1"/>
    <col min="9" max="9" width="14.5" style="125" customWidth="1"/>
    <col min="10" max="10" width="13.125" style="150" customWidth="1"/>
    <col min="11" max="11" width="12.625" bestFit="1" customWidth="1"/>
    <col min="12" max="12" width="18" customWidth="1"/>
    <col min="13" max="13" width="13" style="125" customWidth="1"/>
    <col min="14" max="14" width="12.625" style="122" customWidth="1"/>
    <col min="15" max="15" width="15.5" style="125" customWidth="1"/>
    <col min="16" max="16" width="13.125" hidden="1" customWidth="1"/>
    <col min="17" max="17" width="15.5" style="150" customWidth="1"/>
    <col min="18" max="18" width="13.125" customWidth="1"/>
    <col min="19" max="21" width="6.375" customWidth="1"/>
    <col min="22" max="22" width="15.5" customWidth="1"/>
    <col min="23" max="23" width="3.375" customWidth="1"/>
    <col min="24" max="24" width="13.125" customWidth="1"/>
  </cols>
  <sheetData>
    <row r="3" spans="1:24" s="12" customFormat="1" ht="21.95" customHeight="1" x14ac:dyDescent="0.25">
      <c r="A3" s="214" t="s">
        <v>0</v>
      </c>
      <c r="B3" s="215" t="s">
        <v>1</v>
      </c>
      <c r="C3" s="216" t="s">
        <v>53</v>
      </c>
      <c r="D3" s="208" t="s">
        <v>54</v>
      </c>
      <c r="E3" s="209" t="s">
        <v>55</v>
      </c>
      <c r="F3" s="210"/>
      <c r="G3" s="262" t="s">
        <v>51</v>
      </c>
      <c r="H3" s="263"/>
      <c r="I3" s="264"/>
      <c r="J3" s="151"/>
      <c r="K3" s="265" t="s">
        <v>52</v>
      </c>
      <c r="L3" s="266"/>
      <c r="M3" s="266"/>
      <c r="N3" s="266"/>
      <c r="O3" s="267"/>
      <c r="P3" s="144" t="s">
        <v>56</v>
      </c>
      <c r="Q3" s="150"/>
      <c r="R3" s="144" t="s">
        <v>56</v>
      </c>
    </row>
    <row r="4" spans="1:24" s="12" customFormat="1" x14ac:dyDescent="0.25">
      <c r="A4" s="214"/>
      <c r="B4" s="215"/>
      <c r="C4" s="217"/>
      <c r="D4" s="208"/>
      <c r="E4" s="209"/>
      <c r="F4" s="210"/>
      <c r="G4" s="272" t="s">
        <v>3</v>
      </c>
      <c r="H4" s="274" t="s">
        <v>186</v>
      </c>
      <c r="I4" s="212" t="s">
        <v>2</v>
      </c>
      <c r="J4" s="275" t="s">
        <v>2</v>
      </c>
      <c r="K4" s="159" t="s">
        <v>3</v>
      </c>
      <c r="L4" s="277" t="s">
        <v>4</v>
      </c>
      <c r="M4" s="268" t="s">
        <v>2</v>
      </c>
      <c r="N4" s="270" t="s">
        <v>47</v>
      </c>
      <c r="O4" s="213" t="s">
        <v>2</v>
      </c>
      <c r="P4" s="207" t="s">
        <v>3</v>
      </c>
      <c r="Q4" s="260" t="s">
        <v>2</v>
      </c>
      <c r="R4" s="207" t="s">
        <v>2</v>
      </c>
      <c r="V4" s="258" t="s">
        <v>2</v>
      </c>
      <c r="X4" s="259" t="s">
        <v>2</v>
      </c>
    </row>
    <row r="5" spans="1:24" s="13" customFormat="1" x14ac:dyDescent="0.25">
      <c r="A5" s="214"/>
      <c r="B5" s="215"/>
      <c r="C5" s="218"/>
      <c r="D5" s="208"/>
      <c r="E5" s="209"/>
      <c r="F5" s="210"/>
      <c r="G5" s="273"/>
      <c r="H5" s="274"/>
      <c r="I5" s="212"/>
      <c r="J5" s="276"/>
      <c r="K5" s="160"/>
      <c r="L5" s="278"/>
      <c r="M5" s="269"/>
      <c r="N5" s="271"/>
      <c r="O5" s="213"/>
      <c r="P5" s="207"/>
      <c r="Q5" s="261"/>
      <c r="R5" s="207"/>
      <c r="V5" s="258"/>
      <c r="X5" s="259"/>
    </row>
    <row r="6" spans="1:24" ht="24" customHeight="1" x14ac:dyDescent="0.25">
      <c r="A6" s="3">
        <v>1</v>
      </c>
      <c r="B6" s="103" t="s">
        <v>5</v>
      </c>
      <c r="C6" s="135" t="s">
        <v>57</v>
      </c>
      <c r="D6" s="139" t="s">
        <v>57</v>
      </c>
      <c r="E6" s="140"/>
      <c r="F6" s="2"/>
      <c r="G6" s="131">
        <f>1789.78+163.56</f>
        <v>1953.34</v>
      </c>
      <c r="H6" s="127">
        <v>2</v>
      </c>
      <c r="I6" s="123">
        <f>G6*H6</f>
        <v>3906.68</v>
      </c>
      <c r="J6" s="152">
        <v>4360.3999999999996</v>
      </c>
      <c r="K6" s="142"/>
      <c r="L6" s="8"/>
      <c r="M6" s="143">
        <f>((1789.78-799.62)*2)+(799.62*15)+3374.34+3790.77</f>
        <v>21139.73</v>
      </c>
      <c r="N6" s="119">
        <v>1</v>
      </c>
      <c r="O6" s="126">
        <f>N6*M6</f>
        <v>21139.73</v>
      </c>
      <c r="P6" s="10"/>
      <c r="Q6" s="152">
        <v>42058.12</v>
      </c>
      <c r="R6" s="10"/>
      <c r="V6" s="8">
        <v>42058.12</v>
      </c>
      <c r="X6" s="6">
        <v>4360.3999999999996</v>
      </c>
    </row>
    <row r="7" spans="1:24" ht="24" customHeight="1" x14ac:dyDescent="0.25">
      <c r="A7" s="3">
        <v>2</v>
      </c>
      <c r="B7" s="103" t="s">
        <v>164</v>
      </c>
      <c r="C7" s="135" t="s">
        <v>57</v>
      </c>
      <c r="D7" s="139"/>
      <c r="E7" s="140"/>
      <c r="F7" s="2"/>
      <c r="G7" s="131"/>
      <c r="H7" s="127"/>
      <c r="I7" s="123">
        <v>2572.25</v>
      </c>
      <c r="J7" s="152">
        <v>3980</v>
      </c>
      <c r="K7" s="8"/>
      <c r="L7" s="8"/>
      <c r="M7" s="126">
        <f t="shared" ref="M7:M57" si="0">L7*K7</f>
        <v>0</v>
      </c>
      <c r="N7" s="119"/>
      <c r="O7" s="126">
        <f>N7*M7</f>
        <v>0</v>
      </c>
      <c r="P7" s="10"/>
      <c r="Q7" s="152">
        <f>J7</f>
        <v>3980</v>
      </c>
      <c r="R7" s="10"/>
      <c r="T7">
        <f>49+133+133</f>
        <v>315</v>
      </c>
      <c r="V7" s="8">
        <f>O7</f>
        <v>0</v>
      </c>
      <c r="X7" s="6">
        <v>3980</v>
      </c>
    </row>
    <row r="8" spans="1:24" ht="24" customHeight="1" x14ac:dyDescent="0.25">
      <c r="A8" s="3">
        <v>3</v>
      </c>
      <c r="B8" s="103" t="s">
        <v>6</v>
      </c>
      <c r="C8" s="135" t="s">
        <v>57</v>
      </c>
      <c r="D8" s="139" t="s">
        <v>57</v>
      </c>
      <c r="E8" s="140"/>
      <c r="F8" s="2"/>
      <c r="G8" s="131">
        <v>398.81</v>
      </c>
      <c r="H8" s="127">
        <v>7</v>
      </c>
      <c r="I8" s="123">
        <f>G8*H8</f>
        <v>2791.67</v>
      </c>
      <c r="J8" s="152">
        <v>3080.73</v>
      </c>
      <c r="K8" s="8">
        <f>G8</f>
        <v>398.81</v>
      </c>
      <c r="L8" s="8">
        <v>4</v>
      </c>
      <c r="M8" s="126">
        <f t="shared" si="0"/>
        <v>1595.24</v>
      </c>
      <c r="N8" s="119">
        <v>1</v>
      </c>
      <c r="O8" s="126">
        <f>N8*M8</f>
        <v>1595.24</v>
      </c>
      <c r="P8" s="10"/>
      <c r="Q8" s="152"/>
      <c r="R8" s="10"/>
      <c r="V8" s="8"/>
      <c r="X8" s="6">
        <v>3080.73</v>
      </c>
    </row>
    <row r="9" spans="1:24" ht="24" customHeight="1" x14ac:dyDescent="0.25">
      <c r="A9" s="3">
        <v>4</v>
      </c>
      <c r="B9" s="103" t="s">
        <v>7</v>
      </c>
      <c r="C9" s="135" t="s">
        <v>57</v>
      </c>
      <c r="D9" s="139" t="s">
        <v>57</v>
      </c>
      <c r="E9" s="140"/>
      <c r="F9" s="2"/>
      <c r="G9" s="131">
        <v>482.97</v>
      </c>
      <c r="H9" s="127">
        <v>7</v>
      </c>
      <c r="I9" s="123">
        <f>G9*H9</f>
        <v>3380.79</v>
      </c>
      <c r="J9" s="152">
        <v>4787.72</v>
      </c>
      <c r="K9" s="8">
        <f>G9</f>
        <v>482.97</v>
      </c>
      <c r="L9" s="8">
        <v>4</v>
      </c>
      <c r="M9" s="126">
        <f t="shared" si="0"/>
        <v>1931.88</v>
      </c>
      <c r="N9" s="119">
        <v>1</v>
      </c>
      <c r="O9" s="126">
        <f>(N9*M9)+225.41</f>
        <v>2157.29</v>
      </c>
      <c r="P9" s="10"/>
      <c r="Q9" s="152">
        <v>7816.81</v>
      </c>
      <c r="R9" s="10"/>
      <c r="V9" s="8">
        <v>7816.81</v>
      </c>
      <c r="X9" s="6">
        <v>4787.72</v>
      </c>
    </row>
    <row r="10" spans="1:24" ht="24" customHeight="1" x14ac:dyDescent="0.25">
      <c r="A10" s="3">
        <v>5</v>
      </c>
      <c r="B10" s="103" t="s">
        <v>25</v>
      </c>
      <c r="C10" s="135" t="s">
        <v>57</v>
      </c>
      <c r="D10" s="139" t="s">
        <v>57</v>
      </c>
      <c r="E10" s="140"/>
      <c r="F10" s="2"/>
      <c r="G10" s="131">
        <v>610.30999999999995</v>
      </c>
      <c r="H10" s="127">
        <v>7</v>
      </c>
      <c r="I10" s="123">
        <f>G10*H10</f>
        <v>4272.17</v>
      </c>
      <c r="J10" s="152">
        <v>5494.45</v>
      </c>
      <c r="K10" s="8">
        <f>G10</f>
        <v>610.30999999999995</v>
      </c>
      <c r="L10" s="8">
        <v>4</v>
      </c>
      <c r="M10" s="126">
        <f t="shared" si="0"/>
        <v>2441.2399999999998</v>
      </c>
      <c r="N10" s="119">
        <v>1</v>
      </c>
      <c r="O10" s="126">
        <f>N10*M10</f>
        <v>2441.2399999999998</v>
      </c>
      <c r="P10" s="10"/>
      <c r="Q10" s="152">
        <v>5687.75</v>
      </c>
      <c r="R10" s="10"/>
      <c r="V10" s="8">
        <v>5687.75</v>
      </c>
      <c r="X10" s="6">
        <v>5494.45</v>
      </c>
    </row>
    <row r="11" spans="1:24" ht="24" customHeight="1" x14ac:dyDescent="0.25">
      <c r="A11" s="3">
        <v>6</v>
      </c>
      <c r="B11" s="103" t="s">
        <v>23</v>
      </c>
      <c r="C11" s="135" t="s">
        <v>57</v>
      </c>
      <c r="D11" s="139" t="s">
        <v>57</v>
      </c>
      <c r="E11" s="140"/>
      <c r="F11" s="2"/>
      <c r="G11" s="131">
        <v>272.81</v>
      </c>
      <c r="H11" s="127">
        <v>7</v>
      </c>
      <c r="I11" s="123">
        <f>G11*H11</f>
        <v>1909.67</v>
      </c>
      <c r="J11" s="152">
        <v>2517.6999999999998</v>
      </c>
      <c r="K11" s="8"/>
      <c r="L11" s="8"/>
      <c r="M11" s="126"/>
      <c r="N11" s="119"/>
      <c r="O11" s="126">
        <v>1487.6387500000001</v>
      </c>
      <c r="P11" s="10"/>
      <c r="Q11" s="152">
        <v>1543.47</v>
      </c>
      <c r="R11" s="10"/>
      <c r="V11" s="8">
        <v>1543.47</v>
      </c>
      <c r="X11" s="6">
        <v>2517.6999999999998</v>
      </c>
    </row>
    <row r="12" spans="1:24" ht="24" customHeight="1" x14ac:dyDescent="0.25">
      <c r="A12" s="3">
        <v>7</v>
      </c>
      <c r="B12" s="103" t="s">
        <v>24</v>
      </c>
      <c r="C12" s="135" t="s">
        <v>57</v>
      </c>
      <c r="D12" s="139" t="s">
        <v>57</v>
      </c>
      <c r="E12" s="140"/>
      <c r="F12" s="2"/>
      <c r="G12" s="131">
        <v>271.54000000000002</v>
      </c>
      <c r="H12" s="127">
        <v>7</v>
      </c>
      <c r="I12" s="123">
        <f>H12*G12</f>
        <v>1900.7800000000002</v>
      </c>
      <c r="J12" s="152">
        <v>2624.51</v>
      </c>
      <c r="K12" s="8"/>
      <c r="L12" s="8"/>
      <c r="M12" s="126"/>
      <c r="N12" s="119"/>
      <c r="O12" s="126">
        <v>3211.2299999999996</v>
      </c>
      <c r="P12" s="10"/>
      <c r="Q12" s="152">
        <v>4048.98</v>
      </c>
      <c r="R12" s="10"/>
      <c r="V12" s="8">
        <v>4048.98</v>
      </c>
      <c r="X12" s="6">
        <v>2624.51</v>
      </c>
    </row>
    <row r="13" spans="1:24" ht="24" customHeight="1" x14ac:dyDescent="0.25">
      <c r="A13" s="3">
        <v>8</v>
      </c>
      <c r="B13" s="103" t="s">
        <v>26</v>
      </c>
      <c r="C13" s="135" t="s">
        <v>57</v>
      </c>
      <c r="D13" s="139" t="s">
        <v>57</v>
      </c>
      <c r="E13" s="140"/>
      <c r="F13" s="2"/>
      <c r="G13" s="131">
        <v>261.69</v>
      </c>
      <c r="H13" s="127">
        <v>7</v>
      </c>
      <c r="I13" s="123">
        <f t="shared" ref="I13:I57" si="1">H13*G13</f>
        <v>1831.83</v>
      </c>
      <c r="J13" s="152">
        <v>2340.37</v>
      </c>
      <c r="K13" s="8">
        <f>G13</f>
        <v>261.69</v>
      </c>
      <c r="L13" s="8">
        <v>12</v>
      </c>
      <c r="M13" s="126">
        <f t="shared" si="0"/>
        <v>3140.2799999999997</v>
      </c>
      <c r="N13" s="119">
        <v>0.75</v>
      </c>
      <c r="O13" s="126">
        <f>N13*M13</f>
        <v>2355.21</v>
      </c>
      <c r="P13" s="10"/>
      <c r="Q13" s="157">
        <v>2138.1799999999998</v>
      </c>
      <c r="R13" s="10"/>
      <c r="V13" s="110">
        <v>2138.1799999999998</v>
      </c>
      <c r="X13" s="6">
        <v>2340.37</v>
      </c>
    </row>
    <row r="14" spans="1:24" ht="24" customHeight="1" x14ac:dyDescent="0.25">
      <c r="A14" s="3">
        <v>9</v>
      </c>
      <c r="B14" s="103" t="s">
        <v>165</v>
      </c>
      <c r="C14" s="135" t="s">
        <v>57</v>
      </c>
      <c r="D14" s="139"/>
      <c r="E14" s="140"/>
      <c r="F14" s="2"/>
      <c r="G14" s="131">
        <v>58.27</v>
      </c>
      <c r="H14" s="127">
        <v>7</v>
      </c>
      <c r="I14" s="123">
        <f t="shared" si="1"/>
        <v>407.89000000000004</v>
      </c>
      <c r="J14" s="152">
        <v>524.82000000000005</v>
      </c>
      <c r="K14" s="8"/>
      <c r="L14" s="8"/>
      <c r="M14" s="126">
        <f t="shared" si="0"/>
        <v>0</v>
      </c>
      <c r="N14" s="119"/>
      <c r="O14" s="126">
        <f>N14*M14</f>
        <v>0</v>
      </c>
      <c r="P14" s="10"/>
      <c r="Q14" s="157"/>
      <c r="R14" s="10"/>
      <c r="T14">
        <v>61.17</v>
      </c>
      <c r="V14" s="110"/>
      <c r="X14" s="6">
        <v>524.82000000000005</v>
      </c>
    </row>
    <row r="15" spans="1:24" ht="24" customHeight="1" x14ac:dyDescent="0.25">
      <c r="A15" s="3">
        <v>10</v>
      </c>
      <c r="B15" s="103" t="s">
        <v>27</v>
      </c>
      <c r="C15" s="135" t="s">
        <v>57</v>
      </c>
      <c r="D15" s="139" t="s">
        <v>57</v>
      </c>
      <c r="E15" s="140"/>
      <c r="F15" s="2"/>
      <c r="G15" s="131">
        <v>273.57</v>
      </c>
      <c r="H15" s="127">
        <v>7</v>
      </c>
      <c r="I15" s="123">
        <f t="shared" si="1"/>
        <v>1914.99</v>
      </c>
      <c r="J15" s="152">
        <v>2591.65</v>
      </c>
      <c r="K15" s="8">
        <f>G15</f>
        <v>273.57</v>
      </c>
      <c r="L15" s="8">
        <v>16</v>
      </c>
      <c r="M15" s="126">
        <f t="shared" si="0"/>
        <v>4377.12</v>
      </c>
      <c r="N15" s="119">
        <v>0.75</v>
      </c>
      <c r="O15" s="126">
        <f>N15*M15</f>
        <v>3282.84</v>
      </c>
      <c r="P15" s="10"/>
      <c r="Q15" s="157">
        <v>2848.83</v>
      </c>
      <c r="R15" s="10"/>
      <c r="V15" s="110">
        <v>2848.83</v>
      </c>
      <c r="X15" s="6">
        <v>2591.65</v>
      </c>
    </row>
    <row r="16" spans="1:24" ht="24" customHeight="1" x14ac:dyDescent="0.25">
      <c r="A16" s="3">
        <v>11</v>
      </c>
      <c r="B16" s="103" t="s">
        <v>28</v>
      </c>
      <c r="C16" s="135" t="s">
        <v>57</v>
      </c>
      <c r="D16" s="139" t="s">
        <v>57</v>
      </c>
      <c r="E16" s="140"/>
      <c r="F16" s="2"/>
      <c r="G16" s="131">
        <v>261.47000000000003</v>
      </c>
      <c r="H16" s="127">
        <v>7</v>
      </c>
      <c r="I16" s="123">
        <f t="shared" si="1"/>
        <v>1830.2900000000002</v>
      </c>
      <c r="J16" s="152">
        <v>1768.71</v>
      </c>
      <c r="K16" s="8">
        <f>G16</f>
        <v>261.47000000000003</v>
      </c>
      <c r="L16" s="8">
        <v>13</v>
      </c>
      <c r="M16" s="126">
        <f>(L16*K16)+(K16*1.5)</f>
        <v>3791.3150000000005</v>
      </c>
      <c r="N16" s="119">
        <v>0.8</v>
      </c>
      <c r="O16" s="126">
        <f>N16*M16</f>
        <v>3033.0520000000006</v>
      </c>
      <c r="P16" s="10"/>
      <c r="Q16" s="157">
        <v>4008.35</v>
      </c>
      <c r="R16" s="10"/>
      <c r="V16" s="110">
        <v>4008.35</v>
      </c>
      <c r="X16" s="6">
        <v>1768.71</v>
      </c>
    </row>
    <row r="17" spans="1:24" ht="24" customHeight="1" x14ac:dyDescent="0.25">
      <c r="A17" s="3">
        <v>12</v>
      </c>
      <c r="B17" s="103" t="s">
        <v>29</v>
      </c>
      <c r="C17" s="135" t="s">
        <v>57</v>
      </c>
      <c r="D17" s="139" t="s">
        <v>57</v>
      </c>
      <c r="E17" s="140"/>
      <c r="F17" s="2"/>
      <c r="G17" s="131">
        <v>274.76</v>
      </c>
      <c r="H17" s="127">
        <v>7</v>
      </c>
      <c r="I17" s="123">
        <f t="shared" si="1"/>
        <v>1923.32</v>
      </c>
      <c r="J17" s="152">
        <v>2579.4499999999998</v>
      </c>
      <c r="K17" s="8">
        <f>G17</f>
        <v>274.76</v>
      </c>
      <c r="L17" s="8">
        <v>12</v>
      </c>
      <c r="M17" s="126">
        <f>(L17*K17)+(K17*1.5)</f>
        <v>3709.2599999999998</v>
      </c>
      <c r="N17" s="119">
        <v>0.8</v>
      </c>
      <c r="O17" s="126">
        <f>N17*M17</f>
        <v>2967.4079999999999</v>
      </c>
      <c r="P17" s="10"/>
      <c r="Q17" s="157">
        <v>4179.2</v>
      </c>
      <c r="R17" s="10"/>
      <c r="V17" s="110">
        <v>4179.2</v>
      </c>
      <c r="X17" s="6">
        <v>2579.4499999999998</v>
      </c>
    </row>
    <row r="18" spans="1:24" ht="24" customHeight="1" x14ac:dyDescent="0.25">
      <c r="A18" s="3">
        <v>13</v>
      </c>
      <c r="B18" s="103" t="s">
        <v>22</v>
      </c>
      <c r="C18" s="135" t="s">
        <v>57</v>
      </c>
      <c r="D18" s="139" t="s">
        <v>57</v>
      </c>
      <c r="E18" s="140"/>
      <c r="F18" s="2"/>
      <c r="G18" s="131">
        <v>264.02999999999997</v>
      </c>
      <c r="H18" s="127">
        <v>7</v>
      </c>
      <c r="I18" s="123">
        <f t="shared" si="1"/>
        <v>1848.2099999999998</v>
      </c>
      <c r="J18" s="152">
        <v>2144.86</v>
      </c>
      <c r="K18" s="8"/>
      <c r="L18" s="8"/>
      <c r="M18" s="126">
        <f t="shared" si="0"/>
        <v>0</v>
      </c>
      <c r="N18" s="119"/>
      <c r="O18" s="126">
        <v>4013.2559999999999</v>
      </c>
      <c r="P18" s="10"/>
      <c r="Q18" s="152">
        <v>3911.66</v>
      </c>
      <c r="R18" s="10"/>
      <c r="V18" s="8">
        <v>3911.66</v>
      </c>
      <c r="X18" s="6">
        <v>2144.86</v>
      </c>
    </row>
    <row r="19" spans="1:24" ht="24" customHeight="1" x14ac:dyDescent="0.25">
      <c r="A19" s="3">
        <v>14</v>
      </c>
      <c r="B19" s="103" t="s">
        <v>30</v>
      </c>
      <c r="C19" s="135" t="s">
        <v>57</v>
      </c>
      <c r="D19" s="139" t="s">
        <v>57</v>
      </c>
      <c r="E19" s="140"/>
      <c r="F19" s="2"/>
      <c r="G19" s="131">
        <v>284.43</v>
      </c>
      <c r="H19" s="127">
        <v>7</v>
      </c>
      <c r="I19" s="123">
        <f t="shared" si="1"/>
        <v>1991.01</v>
      </c>
      <c r="J19" s="152">
        <v>2059.0100000000002</v>
      </c>
      <c r="K19" s="8"/>
      <c r="L19" s="8"/>
      <c r="M19" s="126">
        <f t="shared" si="0"/>
        <v>0</v>
      </c>
      <c r="N19" s="119"/>
      <c r="O19" s="126">
        <v>4443.9343200000003</v>
      </c>
      <c r="P19" s="10"/>
      <c r="Q19" s="152">
        <v>4425.75</v>
      </c>
      <c r="R19" s="10"/>
      <c r="V19" s="8">
        <v>4425.75</v>
      </c>
      <c r="X19" s="6">
        <v>2059.0100000000002</v>
      </c>
    </row>
    <row r="20" spans="1:24" ht="24" customHeight="1" x14ac:dyDescent="0.25">
      <c r="A20" s="3">
        <v>15</v>
      </c>
      <c r="B20" s="103" t="s">
        <v>18</v>
      </c>
      <c r="C20" s="135" t="s">
        <v>57</v>
      </c>
      <c r="D20" s="139" t="s">
        <v>57</v>
      </c>
      <c r="E20" s="140"/>
      <c r="F20" s="2"/>
      <c r="G20" s="131">
        <v>260.81</v>
      </c>
      <c r="H20" s="127">
        <v>7</v>
      </c>
      <c r="I20" s="123">
        <f t="shared" si="1"/>
        <v>1825.67</v>
      </c>
      <c r="J20" s="152">
        <v>1767.97</v>
      </c>
      <c r="K20" s="8"/>
      <c r="L20" s="8"/>
      <c r="M20" s="126">
        <f t="shared" si="0"/>
        <v>0</v>
      </c>
      <c r="N20" s="119"/>
      <c r="O20" s="126">
        <v>5464.2303099999999</v>
      </c>
      <c r="P20" s="10"/>
      <c r="Q20" s="152">
        <v>5130.42</v>
      </c>
      <c r="R20" s="10"/>
      <c r="V20" s="8">
        <v>5130.42</v>
      </c>
      <c r="X20" s="6">
        <v>1767.97</v>
      </c>
    </row>
    <row r="21" spans="1:24" ht="24" customHeight="1" x14ac:dyDescent="0.25">
      <c r="A21" s="3">
        <v>16</v>
      </c>
      <c r="B21" s="103" t="s">
        <v>19</v>
      </c>
      <c r="C21" s="135" t="s">
        <v>57</v>
      </c>
      <c r="D21" s="139" t="s">
        <v>57</v>
      </c>
      <c r="E21" s="140"/>
      <c r="F21" s="2"/>
      <c r="G21" s="131">
        <v>59.04</v>
      </c>
      <c r="H21" s="127">
        <v>8</v>
      </c>
      <c r="I21" s="123">
        <f t="shared" si="1"/>
        <v>472.32</v>
      </c>
      <c r="J21" s="152">
        <v>503.76</v>
      </c>
      <c r="K21" s="8">
        <f>G21</f>
        <v>59.04</v>
      </c>
      <c r="L21" s="8">
        <f>14*2</f>
        <v>28</v>
      </c>
      <c r="M21" s="126">
        <f t="shared" si="0"/>
        <v>1653.12</v>
      </c>
      <c r="N21" s="119">
        <v>0.7</v>
      </c>
      <c r="O21" s="126">
        <f>N21*M21</f>
        <v>1157.1839999999997</v>
      </c>
      <c r="P21" s="10"/>
      <c r="Q21" s="152">
        <v>1574.91</v>
      </c>
      <c r="R21" s="10"/>
      <c r="V21" s="8">
        <v>1574.91</v>
      </c>
      <c r="X21" s="6">
        <v>503.76</v>
      </c>
    </row>
    <row r="22" spans="1:24" ht="24" customHeight="1" x14ac:dyDescent="0.25">
      <c r="A22" s="3">
        <v>17</v>
      </c>
      <c r="B22" s="103" t="s">
        <v>20</v>
      </c>
      <c r="C22" s="135" t="s">
        <v>57</v>
      </c>
      <c r="D22" s="139" t="s">
        <v>57</v>
      </c>
      <c r="E22" s="140"/>
      <c r="F22" s="2"/>
      <c r="G22" s="131">
        <v>286.93</v>
      </c>
      <c r="H22" s="127">
        <v>7</v>
      </c>
      <c r="I22" s="123">
        <f t="shared" si="1"/>
        <v>2008.51</v>
      </c>
      <c r="J22" s="152">
        <v>2456.87</v>
      </c>
      <c r="K22" s="8">
        <f>G22</f>
        <v>286.93</v>
      </c>
      <c r="L22" s="8">
        <f>2*12.83</f>
        <v>25.66</v>
      </c>
      <c r="M22" s="126">
        <f t="shared" si="0"/>
        <v>7362.6238000000003</v>
      </c>
      <c r="N22" s="119">
        <v>0.7</v>
      </c>
      <c r="O22" s="126">
        <f>N22*M22</f>
        <v>5153.8366599999999</v>
      </c>
      <c r="P22" s="10"/>
      <c r="Q22" s="152">
        <v>5244.86</v>
      </c>
      <c r="R22" s="10"/>
      <c r="V22" s="8">
        <v>5244.86</v>
      </c>
      <c r="X22" s="6">
        <v>2456.87</v>
      </c>
    </row>
    <row r="23" spans="1:24" ht="24" customHeight="1" x14ac:dyDescent="0.25">
      <c r="A23" s="3">
        <v>18</v>
      </c>
      <c r="B23" s="103" t="s">
        <v>16</v>
      </c>
      <c r="C23" s="135" t="s">
        <v>57</v>
      </c>
      <c r="D23" s="139" t="s">
        <v>57</v>
      </c>
      <c r="E23" s="140"/>
      <c r="F23" s="2"/>
      <c r="G23" s="131">
        <v>262.25</v>
      </c>
      <c r="H23" s="127">
        <v>7</v>
      </c>
      <c r="I23" s="123">
        <f t="shared" si="1"/>
        <v>1835.75</v>
      </c>
      <c r="J23" s="152">
        <v>2268.62</v>
      </c>
      <c r="K23" s="8">
        <f>G23</f>
        <v>262.25</v>
      </c>
      <c r="L23" s="8">
        <f>2*13.53</f>
        <v>27.06</v>
      </c>
      <c r="M23" s="126">
        <f t="shared" si="0"/>
        <v>7096.4849999999997</v>
      </c>
      <c r="N23" s="119">
        <v>0.7</v>
      </c>
      <c r="O23" s="126">
        <f>N23*M23</f>
        <v>4967.5394999999999</v>
      </c>
      <c r="P23" s="10"/>
      <c r="Q23" s="152">
        <v>4774.76</v>
      </c>
      <c r="R23" s="10"/>
      <c r="V23" s="8">
        <v>4774.76</v>
      </c>
      <c r="X23" s="6">
        <v>2268.62</v>
      </c>
    </row>
    <row r="24" spans="1:24" ht="24" customHeight="1" x14ac:dyDescent="0.25">
      <c r="A24" s="3">
        <v>19</v>
      </c>
      <c r="B24" s="103" t="s">
        <v>31</v>
      </c>
      <c r="C24" s="135" t="s">
        <v>57</v>
      </c>
      <c r="D24" s="139" t="s">
        <v>57</v>
      </c>
      <c r="E24" s="140"/>
      <c r="F24" s="2"/>
      <c r="G24" s="131">
        <f>G21</f>
        <v>59.04</v>
      </c>
      <c r="H24" s="127">
        <v>8</v>
      </c>
      <c r="I24" s="123">
        <f t="shared" si="1"/>
        <v>472.32</v>
      </c>
      <c r="J24" s="152">
        <v>435.04</v>
      </c>
      <c r="K24" s="8">
        <v>53.51</v>
      </c>
      <c r="L24" s="8">
        <f>14*2</f>
        <v>28</v>
      </c>
      <c r="M24" s="126">
        <f t="shared" si="0"/>
        <v>1498.28</v>
      </c>
      <c r="N24" s="119">
        <v>0.85</v>
      </c>
      <c r="O24" s="126">
        <f>N24*M24</f>
        <v>1273.538</v>
      </c>
      <c r="P24" s="10"/>
      <c r="Q24" s="152">
        <v>1546.05</v>
      </c>
      <c r="R24" s="10"/>
      <c r="V24" s="8">
        <v>1546.05</v>
      </c>
      <c r="X24" s="6">
        <v>435.04</v>
      </c>
    </row>
    <row r="25" spans="1:24" ht="24" customHeight="1" x14ac:dyDescent="0.25">
      <c r="A25" s="3">
        <v>20</v>
      </c>
      <c r="B25" s="103" t="s">
        <v>17</v>
      </c>
      <c r="C25" s="135" t="s">
        <v>57</v>
      </c>
      <c r="D25" s="139" t="s">
        <v>57</v>
      </c>
      <c r="E25" s="140"/>
      <c r="F25" s="2"/>
      <c r="G25" s="131">
        <v>285.25</v>
      </c>
      <c r="H25" s="127">
        <v>7</v>
      </c>
      <c r="I25" s="123">
        <f t="shared" si="1"/>
        <v>1996.75</v>
      </c>
      <c r="J25" s="152">
        <v>1904.66</v>
      </c>
      <c r="K25" s="8"/>
      <c r="L25" s="8"/>
      <c r="M25" s="126">
        <f t="shared" si="0"/>
        <v>0</v>
      </c>
      <c r="N25" s="119"/>
      <c r="O25" s="126">
        <v>4385.71875</v>
      </c>
      <c r="P25" s="10"/>
      <c r="Q25" s="152">
        <v>6086.57</v>
      </c>
      <c r="R25" s="10"/>
      <c r="V25" s="8">
        <v>6086.57</v>
      </c>
      <c r="X25" s="6">
        <v>1904.66</v>
      </c>
    </row>
    <row r="26" spans="1:24" ht="24" customHeight="1" x14ac:dyDescent="0.25">
      <c r="A26" s="3">
        <v>21</v>
      </c>
      <c r="B26" s="103" t="s">
        <v>13</v>
      </c>
      <c r="C26" s="135" t="s">
        <v>57</v>
      </c>
      <c r="D26" s="139" t="s">
        <v>57</v>
      </c>
      <c r="E26" s="140"/>
      <c r="F26" s="2"/>
      <c r="G26" s="131">
        <f>258.61+48</f>
        <v>306.61</v>
      </c>
      <c r="H26" s="127">
        <v>7</v>
      </c>
      <c r="I26" s="123">
        <f t="shared" si="1"/>
        <v>2146.27</v>
      </c>
      <c r="J26" s="152">
        <v>2833.02</v>
      </c>
      <c r="K26" s="8"/>
      <c r="L26" s="8"/>
      <c r="M26" s="126">
        <f t="shared" si="0"/>
        <v>0</v>
      </c>
      <c r="N26" s="119"/>
      <c r="O26" s="126">
        <v>5257.4596799999999</v>
      </c>
      <c r="P26" s="10"/>
      <c r="Q26" s="152">
        <v>9815.6</v>
      </c>
      <c r="R26" s="10"/>
      <c r="V26" s="8">
        <v>9815.6</v>
      </c>
      <c r="X26" s="6">
        <v>2833.02</v>
      </c>
    </row>
    <row r="27" spans="1:24" ht="24" customHeight="1" x14ac:dyDescent="0.25">
      <c r="A27" s="3">
        <v>22</v>
      </c>
      <c r="B27" s="103" t="s">
        <v>188</v>
      </c>
      <c r="C27" s="135" t="s">
        <v>57</v>
      </c>
      <c r="D27" s="139" t="s">
        <v>57</v>
      </c>
      <c r="E27" s="140"/>
      <c r="F27" s="2"/>
      <c r="G27" s="131">
        <v>59.04</v>
      </c>
      <c r="H27" s="127">
        <v>8</v>
      </c>
      <c r="I27" s="123">
        <f t="shared" si="1"/>
        <v>472.32</v>
      </c>
      <c r="J27" s="152"/>
      <c r="K27" s="8">
        <f t="shared" ref="K27:K43" si="2">G27</f>
        <v>59.04</v>
      </c>
      <c r="L27" s="8">
        <v>16.54</v>
      </c>
      <c r="M27" s="126">
        <f t="shared" si="0"/>
        <v>976.52159999999992</v>
      </c>
      <c r="N27" s="119">
        <v>0.85</v>
      </c>
      <c r="O27" s="126">
        <f>(N27*M27)+275.45</f>
        <v>1105.4933599999999</v>
      </c>
      <c r="P27" s="10"/>
      <c r="Q27" s="152"/>
      <c r="R27" s="10"/>
      <c r="V27" s="8"/>
      <c r="X27" s="6"/>
    </row>
    <row r="28" spans="1:24" ht="24" customHeight="1" x14ac:dyDescent="0.25">
      <c r="A28" s="3">
        <v>22</v>
      </c>
      <c r="B28" s="103" t="s">
        <v>14</v>
      </c>
      <c r="C28" s="135" t="s">
        <v>57</v>
      </c>
      <c r="D28" s="139" t="s">
        <v>57</v>
      </c>
      <c r="E28" s="140"/>
      <c r="F28" s="2"/>
      <c r="G28" s="131">
        <v>283.54000000000002</v>
      </c>
      <c r="H28" s="127">
        <v>7</v>
      </c>
      <c r="I28" s="123">
        <f t="shared" si="1"/>
        <v>1984.7800000000002</v>
      </c>
      <c r="J28" s="152">
        <v>3070.04</v>
      </c>
      <c r="K28" s="8">
        <f t="shared" si="2"/>
        <v>283.54000000000002</v>
      </c>
      <c r="L28" s="8">
        <v>9.0299999999999994</v>
      </c>
      <c r="M28" s="126">
        <f t="shared" si="0"/>
        <v>2560.3661999999999</v>
      </c>
      <c r="N28" s="119">
        <v>0.75</v>
      </c>
      <c r="O28" s="126">
        <f>N28*M28</f>
        <v>1920.2746499999998</v>
      </c>
      <c r="P28" s="10"/>
      <c r="Q28" s="152">
        <v>2020.19</v>
      </c>
      <c r="R28" s="10"/>
      <c r="V28" s="8">
        <v>2020.19</v>
      </c>
      <c r="X28" s="6">
        <v>3070.04</v>
      </c>
    </row>
    <row r="29" spans="1:24" ht="24" customHeight="1" x14ac:dyDescent="0.25">
      <c r="A29" s="3">
        <v>23</v>
      </c>
      <c r="B29" s="103" t="s">
        <v>10</v>
      </c>
      <c r="C29" s="135" t="s">
        <v>57</v>
      </c>
      <c r="D29" s="139" t="s">
        <v>57</v>
      </c>
      <c r="E29" s="140"/>
      <c r="F29" s="2"/>
      <c r="G29" s="131">
        <v>319.83999999999997</v>
      </c>
      <c r="H29" s="127">
        <v>7</v>
      </c>
      <c r="I29" s="123">
        <f t="shared" si="1"/>
        <v>2238.8799999999997</v>
      </c>
      <c r="J29" s="152">
        <v>2379.66</v>
      </c>
      <c r="K29" s="8">
        <f t="shared" si="2"/>
        <v>319.83999999999997</v>
      </c>
      <c r="L29" s="8">
        <v>8.68</v>
      </c>
      <c r="M29" s="126">
        <f t="shared" si="0"/>
        <v>2776.2111999999997</v>
      </c>
      <c r="N29" s="119">
        <v>0.7</v>
      </c>
      <c r="O29" s="126">
        <v>5077.7798399999992</v>
      </c>
      <c r="P29" s="10"/>
      <c r="Q29" s="152">
        <v>5135.8500000000004</v>
      </c>
      <c r="R29" s="10"/>
      <c r="V29" s="8">
        <v>5135.8500000000004</v>
      </c>
      <c r="X29" s="6">
        <v>2379.66</v>
      </c>
    </row>
    <row r="30" spans="1:24" ht="24" customHeight="1" x14ac:dyDescent="0.25">
      <c r="A30" s="3">
        <v>24</v>
      </c>
      <c r="B30" s="103" t="s">
        <v>11</v>
      </c>
      <c r="C30" s="135" t="s">
        <v>57</v>
      </c>
      <c r="D30" s="139" t="s">
        <v>57</v>
      </c>
      <c r="E30" s="140"/>
      <c r="F30" s="2"/>
      <c r="G30" s="131">
        <v>285.18</v>
      </c>
      <c r="H30" s="127">
        <v>7</v>
      </c>
      <c r="I30" s="123">
        <f t="shared" si="1"/>
        <v>1996.26</v>
      </c>
      <c r="J30" s="152">
        <v>2489.15</v>
      </c>
      <c r="K30" s="8">
        <f t="shared" si="2"/>
        <v>285.18</v>
      </c>
      <c r="L30" s="8">
        <v>10.7</v>
      </c>
      <c r="M30" s="126">
        <f t="shared" si="0"/>
        <v>3051.4259999999999</v>
      </c>
      <c r="N30" s="119">
        <v>0.7</v>
      </c>
      <c r="O30" s="126">
        <v>5214.2311199999995</v>
      </c>
      <c r="P30" s="10"/>
      <c r="Q30" s="152">
        <v>5759.53</v>
      </c>
      <c r="R30" s="10"/>
      <c r="V30" s="8">
        <v>5759.53</v>
      </c>
      <c r="X30" s="6">
        <v>2489.15</v>
      </c>
    </row>
    <row r="31" spans="1:24" ht="24" customHeight="1" x14ac:dyDescent="0.25">
      <c r="A31" s="3">
        <v>25</v>
      </c>
      <c r="B31" s="103" t="s">
        <v>32</v>
      </c>
      <c r="C31" s="135" t="s">
        <v>57</v>
      </c>
      <c r="D31" s="139" t="s">
        <v>57</v>
      </c>
      <c r="E31" s="140"/>
      <c r="F31" s="2"/>
      <c r="G31" s="131">
        <v>318.33999999999997</v>
      </c>
      <c r="H31" s="127">
        <v>7</v>
      </c>
      <c r="I31" s="123">
        <f>(H31*G31)+(48.5*H31)</f>
        <v>2567.8799999999997</v>
      </c>
      <c r="J31" s="152">
        <v>3195.92</v>
      </c>
      <c r="K31" s="8">
        <f t="shared" si="2"/>
        <v>318.33999999999997</v>
      </c>
      <c r="L31" s="8">
        <v>11.65</v>
      </c>
      <c r="M31" s="126">
        <f t="shared" si="0"/>
        <v>3708.6609999999996</v>
      </c>
      <c r="N31" s="119">
        <v>0.7</v>
      </c>
      <c r="O31" s="126">
        <v>5042.8239399999993</v>
      </c>
      <c r="P31" s="10"/>
      <c r="Q31" s="152">
        <v>2375.81</v>
      </c>
      <c r="R31" s="10"/>
      <c r="V31" s="8">
        <v>2375.81</v>
      </c>
      <c r="X31" s="6">
        <v>3195.92</v>
      </c>
    </row>
    <row r="32" spans="1:24" ht="24" customHeight="1" x14ac:dyDescent="0.25">
      <c r="A32" s="3">
        <v>26</v>
      </c>
      <c r="B32" s="103" t="s">
        <v>8</v>
      </c>
      <c r="C32" s="135" t="s">
        <v>57</v>
      </c>
      <c r="D32" s="139" t="s">
        <v>57</v>
      </c>
      <c r="E32" s="140"/>
      <c r="F32" s="2"/>
      <c r="G32" s="131">
        <v>283.44</v>
      </c>
      <c r="H32" s="127">
        <v>7</v>
      </c>
      <c r="I32" s="123">
        <f t="shared" si="1"/>
        <v>1984.08</v>
      </c>
      <c r="J32" s="152">
        <v>2010.71</v>
      </c>
      <c r="K32" s="8">
        <f t="shared" si="2"/>
        <v>283.44</v>
      </c>
      <c r="L32" s="8">
        <v>10.050000000000001</v>
      </c>
      <c r="M32" s="126">
        <f t="shared" si="0"/>
        <v>2848.5720000000001</v>
      </c>
      <c r="N32" s="119">
        <v>0.8</v>
      </c>
      <c r="O32" s="126">
        <v>4634.8108800000009</v>
      </c>
      <c r="P32" s="10"/>
      <c r="Q32" s="152">
        <v>5424.22</v>
      </c>
      <c r="R32" s="10"/>
      <c r="V32" s="8">
        <v>5424.22</v>
      </c>
      <c r="X32" s="6">
        <v>2010.71</v>
      </c>
    </row>
    <row r="33" spans="1:24" ht="24" customHeight="1" x14ac:dyDescent="0.25">
      <c r="A33" s="3">
        <v>27</v>
      </c>
      <c r="B33" s="103" t="s">
        <v>33</v>
      </c>
      <c r="C33" s="135" t="s">
        <v>57</v>
      </c>
      <c r="D33" s="139" t="s">
        <v>57</v>
      </c>
      <c r="E33" s="140"/>
      <c r="F33" s="2"/>
      <c r="G33" s="131">
        <v>477</v>
      </c>
      <c r="H33" s="127">
        <v>9.5</v>
      </c>
      <c r="I33" s="123">
        <f t="shared" si="1"/>
        <v>4531.5</v>
      </c>
      <c r="J33" s="152">
        <v>5407.07</v>
      </c>
      <c r="K33" s="8">
        <f t="shared" si="2"/>
        <v>477</v>
      </c>
      <c r="L33" s="8">
        <v>4</v>
      </c>
      <c r="M33" s="126">
        <f t="shared" si="0"/>
        <v>1908</v>
      </c>
      <c r="N33" s="119">
        <v>0.8</v>
      </c>
      <c r="O33" s="126">
        <f>(N33*M33)+383.82+(201.39*3)</f>
        <v>2514.39</v>
      </c>
      <c r="P33" s="10"/>
      <c r="Q33" s="152">
        <v>7298.42</v>
      </c>
      <c r="R33" s="10"/>
      <c r="V33" s="8">
        <v>7298.42</v>
      </c>
      <c r="X33" s="6">
        <v>5407.07</v>
      </c>
    </row>
    <row r="34" spans="1:24" ht="24" customHeight="1" x14ac:dyDescent="0.25">
      <c r="A34" s="3">
        <v>28</v>
      </c>
      <c r="B34" s="103" t="s">
        <v>9</v>
      </c>
      <c r="C34" s="135" t="s">
        <v>57</v>
      </c>
      <c r="D34" s="139" t="s">
        <v>57</v>
      </c>
      <c r="E34" s="140"/>
      <c r="F34" s="2"/>
      <c r="G34" s="131">
        <v>96.38</v>
      </c>
      <c r="H34" s="127">
        <v>6</v>
      </c>
      <c r="I34" s="123">
        <f t="shared" si="1"/>
        <v>578.28</v>
      </c>
      <c r="J34" s="152">
        <v>463.86</v>
      </c>
      <c r="K34" s="8">
        <f t="shared" si="2"/>
        <v>96.38</v>
      </c>
      <c r="L34" s="8">
        <v>8.3000000000000007</v>
      </c>
      <c r="M34" s="126">
        <f t="shared" si="0"/>
        <v>799.95400000000006</v>
      </c>
      <c r="N34" s="119">
        <v>0.85</v>
      </c>
      <c r="O34" s="126">
        <v>1734.3099099999999</v>
      </c>
      <c r="P34" s="10"/>
      <c r="Q34" s="152">
        <v>1627.88</v>
      </c>
      <c r="R34" s="10"/>
      <c r="V34" s="8">
        <v>1627.88</v>
      </c>
      <c r="X34" s="6">
        <v>463.86</v>
      </c>
    </row>
    <row r="35" spans="1:24" ht="24" customHeight="1" x14ac:dyDescent="0.25">
      <c r="A35" s="3">
        <v>29</v>
      </c>
      <c r="B35" s="103" t="s">
        <v>12</v>
      </c>
      <c r="C35" s="135" t="s">
        <v>57</v>
      </c>
      <c r="D35" s="139" t="s">
        <v>57</v>
      </c>
      <c r="E35" s="140"/>
      <c r="F35" s="2"/>
      <c r="G35" s="131">
        <v>86.43</v>
      </c>
      <c r="H35" s="127">
        <v>6</v>
      </c>
      <c r="I35" s="123">
        <f t="shared" si="1"/>
        <v>518.58000000000004</v>
      </c>
      <c r="J35" s="152">
        <v>417.26</v>
      </c>
      <c r="K35" s="8">
        <f t="shared" si="2"/>
        <v>86.43</v>
      </c>
      <c r="L35" s="8">
        <v>8</v>
      </c>
      <c r="M35" s="126">
        <f t="shared" si="0"/>
        <v>691.44</v>
      </c>
      <c r="N35" s="119">
        <v>0.85</v>
      </c>
      <c r="O35" s="126">
        <v>1070.392335</v>
      </c>
      <c r="P35" s="10"/>
      <c r="Q35" s="152">
        <v>1348.89</v>
      </c>
      <c r="R35" s="10"/>
      <c r="V35" s="8">
        <v>1348.89</v>
      </c>
      <c r="X35" s="6">
        <v>417.26</v>
      </c>
    </row>
    <row r="36" spans="1:24" ht="24" customHeight="1" x14ac:dyDescent="0.25">
      <c r="A36" s="3">
        <v>30</v>
      </c>
      <c r="B36" s="103" t="s">
        <v>15</v>
      </c>
      <c r="C36" s="135" t="s">
        <v>57</v>
      </c>
      <c r="D36" s="139" t="s">
        <v>57</v>
      </c>
      <c r="E36" s="140"/>
      <c r="F36" s="2"/>
      <c r="G36" s="131">
        <v>470.78</v>
      </c>
      <c r="H36" s="127">
        <v>7</v>
      </c>
      <c r="I36" s="123">
        <f t="shared" si="1"/>
        <v>3295.46</v>
      </c>
      <c r="J36" s="152">
        <v>4974.04</v>
      </c>
      <c r="K36" s="8">
        <f t="shared" si="2"/>
        <v>470.78</v>
      </c>
      <c r="L36" s="8">
        <v>15.94</v>
      </c>
      <c r="M36" s="126">
        <f t="shared" si="0"/>
        <v>7504.2331999999997</v>
      </c>
      <c r="N36" s="119">
        <v>0.7</v>
      </c>
      <c r="O36" s="126">
        <f>N36*M36</f>
        <v>5252.9632399999991</v>
      </c>
      <c r="P36" s="10"/>
      <c r="Q36" s="152">
        <v>2534.11</v>
      </c>
      <c r="R36" s="10"/>
      <c r="V36" s="8">
        <v>2534.11</v>
      </c>
      <c r="X36" s="6">
        <v>4974.04</v>
      </c>
    </row>
    <row r="37" spans="1:24" ht="24" customHeight="1" x14ac:dyDescent="0.25">
      <c r="A37" s="3">
        <v>31</v>
      </c>
      <c r="B37" s="103" t="s">
        <v>21</v>
      </c>
      <c r="C37" s="135" t="s">
        <v>57</v>
      </c>
      <c r="D37" s="139" t="s">
        <v>57</v>
      </c>
      <c r="E37" s="140"/>
      <c r="F37" s="2"/>
      <c r="G37" s="131">
        <v>255.96</v>
      </c>
      <c r="H37" s="127">
        <v>7</v>
      </c>
      <c r="I37" s="123">
        <f t="shared" si="1"/>
        <v>1791.72</v>
      </c>
      <c r="J37" s="152">
        <v>2241.94</v>
      </c>
      <c r="K37" s="8">
        <f t="shared" si="2"/>
        <v>255.96</v>
      </c>
      <c r="L37" s="8">
        <v>4</v>
      </c>
      <c r="M37" s="126">
        <f t="shared" si="0"/>
        <v>1023.84</v>
      </c>
      <c r="N37" s="119">
        <v>1</v>
      </c>
      <c r="O37" s="126">
        <f>N37*M37</f>
        <v>1023.84</v>
      </c>
      <c r="P37" s="10"/>
      <c r="Q37" s="152">
        <v>1259.95</v>
      </c>
      <c r="R37" s="10"/>
      <c r="V37" s="8">
        <v>1259.95</v>
      </c>
      <c r="X37" s="6">
        <v>2241.94</v>
      </c>
    </row>
    <row r="38" spans="1:24" ht="18.75" x14ac:dyDescent="0.25">
      <c r="A38" s="3">
        <v>32</v>
      </c>
      <c r="B38" s="104" t="s">
        <v>48</v>
      </c>
      <c r="C38" s="135" t="s">
        <v>57</v>
      </c>
      <c r="D38" s="139" t="s">
        <v>57</v>
      </c>
      <c r="E38" s="140"/>
      <c r="F38" s="2"/>
      <c r="G38" s="163">
        <f>250.79 +75.48</f>
        <v>326.27</v>
      </c>
      <c r="H38" s="127">
        <v>7</v>
      </c>
      <c r="I38" s="123">
        <f t="shared" si="1"/>
        <v>2283.89</v>
      </c>
      <c r="J38" s="152">
        <v>2872.92</v>
      </c>
      <c r="K38" s="8">
        <f t="shared" si="2"/>
        <v>326.27</v>
      </c>
      <c r="L38" s="8">
        <v>10.28</v>
      </c>
      <c r="M38" s="126">
        <f t="shared" si="0"/>
        <v>3354.0555999999997</v>
      </c>
      <c r="N38" s="119">
        <v>0.75</v>
      </c>
      <c r="O38" s="126">
        <v>5877.7540499999996</v>
      </c>
      <c r="P38" s="10"/>
      <c r="Q38" s="152">
        <v>4022.25</v>
      </c>
      <c r="R38" s="10"/>
      <c r="V38" s="8">
        <v>4022.25</v>
      </c>
      <c r="X38" s="6">
        <v>2872.92</v>
      </c>
    </row>
    <row r="39" spans="1:24" ht="24" customHeight="1" x14ac:dyDescent="0.25">
      <c r="A39" s="3">
        <v>33</v>
      </c>
      <c r="B39" s="103" t="s">
        <v>34</v>
      </c>
      <c r="C39" s="135" t="s">
        <v>57</v>
      </c>
      <c r="D39" s="139" t="s">
        <v>57</v>
      </c>
      <c r="E39" s="140"/>
      <c r="F39" s="2"/>
      <c r="G39" s="131">
        <v>249.08</v>
      </c>
      <c r="H39" s="127">
        <v>7</v>
      </c>
      <c r="I39" s="123">
        <f t="shared" si="1"/>
        <v>1743.5600000000002</v>
      </c>
      <c r="J39" s="152">
        <v>2781.59</v>
      </c>
      <c r="K39" s="8">
        <f t="shared" si="2"/>
        <v>249.08</v>
      </c>
      <c r="L39" s="8">
        <v>8.81</v>
      </c>
      <c r="M39" s="126">
        <f t="shared" si="0"/>
        <v>2194.3948</v>
      </c>
      <c r="N39" s="119">
        <v>0.8</v>
      </c>
      <c r="O39" s="126">
        <v>3495.05</v>
      </c>
      <c r="P39" s="10"/>
      <c r="Q39" s="152">
        <v>5161.3900000000003</v>
      </c>
      <c r="R39" s="10"/>
      <c r="V39" s="8">
        <v>5161.3900000000003</v>
      </c>
      <c r="X39" s="6">
        <v>2781.59</v>
      </c>
    </row>
    <row r="40" spans="1:24" ht="24" customHeight="1" x14ac:dyDescent="0.25">
      <c r="A40" s="3">
        <v>34</v>
      </c>
      <c r="B40" s="103" t="s">
        <v>162</v>
      </c>
      <c r="C40" s="135" t="s">
        <v>57</v>
      </c>
      <c r="D40" s="139" t="s">
        <v>57</v>
      </c>
      <c r="E40" s="140"/>
      <c r="F40" s="2"/>
      <c r="G40" s="131">
        <v>322.14999999999998</v>
      </c>
      <c r="H40" s="127">
        <v>7</v>
      </c>
      <c r="I40" s="123">
        <f>H40*G40</f>
        <v>2255.0499999999997</v>
      </c>
      <c r="J40" s="152">
        <v>3498.3</v>
      </c>
      <c r="K40" s="8">
        <f t="shared" si="2"/>
        <v>322.14999999999998</v>
      </c>
      <c r="L40" s="8"/>
      <c r="M40" s="126">
        <f>(100*13)+2861.88+(K40*3)</f>
        <v>5128.33</v>
      </c>
      <c r="N40" s="119">
        <v>1</v>
      </c>
      <c r="O40" s="126">
        <f>N40*M40</f>
        <v>5128.33</v>
      </c>
      <c r="P40" s="10"/>
      <c r="Q40" s="152">
        <v>13526.88</v>
      </c>
      <c r="R40" s="10"/>
      <c r="V40" s="8">
        <v>13526.88</v>
      </c>
      <c r="X40" s="6">
        <v>3498.3</v>
      </c>
    </row>
    <row r="41" spans="1:24" s="5" customFormat="1" ht="36.950000000000003" customHeight="1" x14ac:dyDescent="0.25">
      <c r="A41" s="3">
        <v>35</v>
      </c>
      <c r="B41" s="104" t="s">
        <v>166</v>
      </c>
      <c r="C41" s="135" t="s">
        <v>57</v>
      </c>
      <c r="D41" s="139" t="s">
        <v>57</v>
      </c>
      <c r="E41" s="140"/>
      <c r="F41" s="4"/>
      <c r="G41" s="132">
        <v>325.11</v>
      </c>
      <c r="H41" s="128">
        <v>6</v>
      </c>
      <c r="I41" s="145">
        <f t="shared" si="1"/>
        <v>1950.66</v>
      </c>
      <c r="J41" s="153">
        <f>7204.99+2253</f>
        <v>9457.99</v>
      </c>
      <c r="K41" s="9">
        <f t="shared" si="2"/>
        <v>325.11</v>
      </c>
      <c r="L41" s="9">
        <v>4</v>
      </c>
      <c r="M41" s="146">
        <f>(L41*K41)+592.86</f>
        <v>1893.3000000000002</v>
      </c>
      <c r="N41" s="120">
        <v>1</v>
      </c>
      <c r="O41" s="146">
        <f>N41*M41</f>
        <v>1893.3000000000002</v>
      </c>
      <c r="P41" s="11"/>
      <c r="Q41" s="153">
        <v>4256.3900000000003</v>
      </c>
      <c r="R41" s="11"/>
      <c r="V41" s="9">
        <v>4256.3900000000003</v>
      </c>
      <c r="X41" s="7">
        <f>7204.99+2253</f>
        <v>9457.99</v>
      </c>
    </row>
    <row r="42" spans="1:24" ht="24" customHeight="1" x14ac:dyDescent="0.25">
      <c r="A42" s="3">
        <v>36</v>
      </c>
      <c r="B42" s="103" t="s">
        <v>189</v>
      </c>
      <c r="C42" s="135" t="s">
        <v>57</v>
      </c>
      <c r="D42" s="139" t="s">
        <v>57</v>
      </c>
      <c r="E42" s="140"/>
      <c r="F42" s="2"/>
      <c r="G42" s="131">
        <v>158.43</v>
      </c>
      <c r="H42" s="127">
        <v>7</v>
      </c>
      <c r="I42" s="123">
        <f t="shared" si="1"/>
        <v>1109.01</v>
      </c>
      <c r="J42" s="152">
        <f>T42*12</f>
        <v>1248</v>
      </c>
      <c r="K42" s="8">
        <f t="shared" si="2"/>
        <v>158.43</v>
      </c>
      <c r="L42" s="8">
        <v>4</v>
      </c>
      <c r="M42" s="126">
        <f t="shared" si="0"/>
        <v>633.72</v>
      </c>
      <c r="N42" s="119">
        <v>1</v>
      </c>
      <c r="O42" s="126">
        <f>N42*M42</f>
        <v>633.72</v>
      </c>
      <c r="P42" s="10"/>
      <c r="Q42" s="152">
        <f>X42*2*2</f>
        <v>0</v>
      </c>
      <c r="R42" s="10"/>
      <c r="T42">
        <f>104</f>
        <v>104</v>
      </c>
      <c r="V42" s="8">
        <f>AC42*2*2</f>
        <v>0</v>
      </c>
      <c r="X42" s="6">
        <f>AJ42*12</f>
        <v>0</v>
      </c>
    </row>
    <row r="43" spans="1:24" ht="24" customHeight="1" x14ac:dyDescent="0.25">
      <c r="A43" s="3">
        <v>37</v>
      </c>
      <c r="B43" s="148" t="s">
        <v>35</v>
      </c>
      <c r="C43" s="135" t="s">
        <v>57</v>
      </c>
      <c r="D43" s="139" t="s">
        <v>57</v>
      </c>
      <c r="E43" s="140"/>
      <c r="F43" s="2"/>
      <c r="G43" s="131">
        <v>50.83</v>
      </c>
      <c r="H43" s="127"/>
      <c r="I43" s="123">
        <v>1725.8</v>
      </c>
      <c r="J43" s="152">
        <v>5013.3599999999997</v>
      </c>
      <c r="K43" s="8">
        <f t="shared" si="2"/>
        <v>50.83</v>
      </c>
      <c r="L43" s="8"/>
      <c r="M43" s="126">
        <v>4450.26</v>
      </c>
      <c r="N43" s="119">
        <v>1</v>
      </c>
      <c r="O43" s="126">
        <f>N43*M43</f>
        <v>4450.26</v>
      </c>
      <c r="P43" s="10"/>
      <c r="Q43" s="152">
        <v>4762.6899999999996</v>
      </c>
      <c r="R43" s="10"/>
      <c r="V43" s="8">
        <v>4762.6899999999996</v>
      </c>
      <c r="X43" s="6">
        <v>5013.3599999999997</v>
      </c>
    </row>
    <row r="44" spans="1:24" ht="24" customHeight="1" x14ac:dyDescent="0.25">
      <c r="A44" s="3">
        <v>38</v>
      </c>
      <c r="B44" s="103" t="s">
        <v>37</v>
      </c>
      <c r="C44" s="135" t="s">
        <v>57</v>
      </c>
      <c r="D44" s="139" t="s">
        <v>57</v>
      </c>
      <c r="E44" s="140"/>
      <c r="F44" s="2"/>
      <c r="G44" s="131"/>
      <c r="H44" s="127"/>
      <c r="I44" s="164">
        <f>(22321.5-9185.78-1953.14-(150.7*5))*80%</f>
        <v>8343.264000000001</v>
      </c>
      <c r="J44" s="152">
        <v>9383.2999999999993</v>
      </c>
      <c r="K44" s="8"/>
      <c r="L44" s="8"/>
      <c r="M44" s="126">
        <f t="shared" si="0"/>
        <v>0</v>
      </c>
      <c r="N44" s="119"/>
      <c r="O44" s="165">
        <f>(22321.5-9185.78-1953.14-(150.7*5))*80%</f>
        <v>8343.264000000001</v>
      </c>
      <c r="P44" s="10"/>
      <c r="Q44" s="152">
        <v>9383.25</v>
      </c>
      <c r="R44" s="10"/>
      <c r="V44" s="8">
        <v>9383.25</v>
      </c>
      <c r="X44" s="6">
        <v>9383.2999999999993</v>
      </c>
    </row>
    <row r="45" spans="1:24" ht="24" customHeight="1" x14ac:dyDescent="0.25">
      <c r="A45" s="3">
        <v>45</v>
      </c>
      <c r="B45" s="103" t="s">
        <v>163</v>
      </c>
      <c r="C45" s="135"/>
      <c r="D45" s="139" t="s">
        <v>57</v>
      </c>
      <c r="E45" s="140"/>
      <c r="F45" s="2"/>
      <c r="G45" s="131"/>
      <c r="H45" s="127"/>
      <c r="I45" s="123">
        <v>2241.54</v>
      </c>
      <c r="J45" s="152"/>
      <c r="K45" s="8"/>
      <c r="L45" s="8"/>
      <c r="M45" s="126">
        <f>I45</f>
        <v>2241.54</v>
      </c>
      <c r="N45" s="119">
        <v>0.85</v>
      </c>
      <c r="O45" s="126">
        <f>N45*M45</f>
        <v>1905.309</v>
      </c>
      <c r="P45" s="10"/>
      <c r="Q45" s="152">
        <v>1862</v>
      </c>
      <c r="R45" s="10"/>
      <c r="T45">
        <f>927+935</f>
        <v>1862</v>
      </c>
      <c r="V45" s="8">
        <v>1862</v>
      </c>
      <c r="X45" s="6"/>
    </row>
    <row r="46" spans="1:24" ht="24" customHeight="1" x14ac:dyDescent="0.25">
      <c r="A46" s="3">
        <v>40</v>
      </c>
      <c r="B46" s="103" t="s">
        <v>45</v>
      </c>
      <c r="C46" s="135"/>
      <c r="D46" s="139" t="s">
        <v>57</v>
      </c>
      <c r="E46" s="140"/>
      <c r="F46" s="2"/>
      <c r="G46" s="131"/>
      <c r="H46" s="127"/>
      <c r="I46" s="123">
        <f t="shared" ref="I46:I53" si="3">H46*G46</f>
        <v>0</v>
      </c>
      <c r="J46" s="152"/>
      <c r="K46" s="8">
        <v>99.61</v>
      </c>
      <c r="L46" s="8">
        <v>103.5</v>
      </c>
      <c r="M46" s="126">
        <f>(L46*K46)-2504.56</f>
        <v>7805.0750000000007</v>
      </c>
      <c r="N46" s="119">
        <v>0.95</v>
      </c>
      <c r="O46" s="126">
        <f>N46*M46</f>
        <v>7414.82125</v>
      </c>
      <c r="P46" s="10"/>
      <c r="Q46" s="152">
        <v>10422.16</v>
      </c>
      <c r="R46" s="10"/>
      <c r="V46" s="8">
        <v>10422.16</v>
      </c>
      <c r="X46" s="6"/>
    </row>
    <row r="47" spans="1:24" ht="24" customHeight="1" x14ac:dyDescent="0.25">
      <c r="A47" s="3">
        <v>44</v>
      </c>
      <c r="B47" s="103" t="s">
        <v>159</v>
      </c>
      <c r="C47" s="135"/>
      <c r="D47" s="139" t="s">
        <v>57</v>
      </c>
      <c r="E47" s="140"/>
      <c r="F47" s="2"/>
      <c r="G47" s="131"/>
      <c r="H47" s="127"/>
      <c r="I47" s="123">
        <f t="shared" si="3"/>
        <v>0</v>
      </c>
      <c r="J47" s="152"/>
      <c r="K47" s="8">
        <v>60</v>
      </c>
      <c r="L47" s="8">
        <v>30</v>
      </c>
      <c r="M47" s="126">
        <f>L47*K47</f>
        <v>1800</v>
      </c>
      <c r="N47" s="119">
        <v>1</v>
      </c>
      <c r="O47" s="126">
        <f>N47*M47</f>
        <v>1800</v>
      </c>
      <c r="P47" s="10"/>
      <c r="Q47" s="152">
        <v>1258</v>
      </c>
      <c r="R47" s="10"/>
      <c r="V47" s="8">
        <v>1258</v>
      </c>
      <c r="X47" s="6"/>
    </row>
    <row r="48" spans="1:24" ht="24" customHeight="1" x14ac:dyDescent="0.25">
      <c r="A48" s="3">
        <v>41</v>
      </c>
      <c r="B48" s="148" t="s">
        <v>49</v>
      </c>
      <c r="C48" s="135"/>
      <c r="D48" s="139" t="s">
        <v>57</v>
      </c>
      <c r="E48" s="140"/>
      <c r="F48" s="2"/>
      <c r="G48" s="131"/>
      <c r="H48" s="127"/>
      <c r="I48" s="123">
        <f t="shared" si="3"/>
        <v>0</v>
      </c>
      <c r="J48" s="152"/>
      <c r="K48" s="8"/>
      <c r="L48" s="8"/>
      <c r="M48" s="126">
        <f>L48*K48</f>
        <v>0</v>
      </c>
      <c r="N48" s="119"/>
      <c r="O48" s="126">
        <v>2485</v>
      </c>
      <c r="P48" s="10"/>
      <c r="Q48" s="152">
        <v>2485</v>
      </c>
      <c r="R48" s="10"/>
      <c r="V48" s="8">
        <v>2485</v>
      </c>
      <c r="X48" s="6"/>
    </row>
    <row r="49" spans="1:24" ht="24" customHeight="1" x14ac:dyDescent="0.25">
      <c r="A49" s="3">
        <v>46</v>
      </c>
      <c r="B49" s="166" t="s">
        <v>160</v>
      </c>
      <c r="C49" s="135"/>
      <c r="D49" s="139" t="s">
        <v>57</v>
      </c>
      <c r="E49" s="140"/>
      <c r="F49" s="2"/>
      <c r="G49" s="131"/>
      <c r="H49" s="127"/>
      <c r="I49" s="123">
        <f t="shared" si="3"/>
        <v>0</v>
      </c>
      <c r="J49" s="152"/>
      <c r="K49" s="8"/>
      <c r="L49" s="8"/>
      <c r="M49" s="126">
        <v>12379.36</v>
      </c>
      <c r="N49" s="119">
        <v>0.85</v>
      </c>
      <c r="O49" s="126">
        <f>M49*N49</f>
        <v>10522.456</v>
      </c>
      <c r="P49" s="10"/>
      <c r="Q49" s="152">
        <v>4768.91</v>
      </c>
      <c r="R49" s="10"/>
      <c r="V49" s="8">
        <v>4768.91</v>
      </c>
      <c r="X49" s="6"/>
    </row>
    <row r="50" spans="1:24" ht="24" customHeight="1" x14ac:dyDescent="0.25">
      <c r="A50" s="3">
        <v>47</v>
      </c>
      <c r="B50" s="166" t="s">
        <v>40</v>
      </c>
      <c r="C50" s="135"/>
      <c r="D50" s="139" t="s">
        <v>57</v>
      </c>
      <c r="E50" s="140"/>
      <c r="F50" s="2"/>
      <c r="G50" s="131"/>
      <c r="H50" s="127"/>
      <c r="I50" s="123">
        <f t="shared" si="3"/>
        <v>0</v>
      </c>
      <c r="J50" s="152"/>
      <c r="K50" s="8">
        <f>66.88+13.6</f>
        <v>80.47999999999999</v>
      </c>
      <c r="L50" s="8">
        <v>58.39</v>
      </c>
      <c r="M50" s="126">
        <v>12379.36</v>
      </c>
      <c r="N50" s="119">
        <v>1</v>
      </c>
      <c r="O50" s="126">
        <f>M50*N50</f>
        <v>12379.36</v>
      </c>
      <c r="P50" s="10"/>
      <c r="Q50" s="152">
        <v>3828</v>
      </c>
      <c r="R50" s="10"/>
      <c r="V50" s="8">
        <v>3828</v>
      </c>
      <c r="X50" s="6"/>
    </row>
    <row r="51" spans="1:24" ht="24" customHeight="1" x14ac:dyDescent="0.25">
      <c r="A51" s="3">
        <v>48</v>
      </c>
      <c r="B51" s="166" t="s">
        <v>190</v>
      </c>
      <c r="C51" s="135"/>
      <c r="D51" s="139" t="s">
        <v>57</v>
      </c>
      <c r="E51" s="140"/>
      <c r="F51" s="2"/>
      <c r="G51" s="131"/>
      <c r="H51" s="127"/>
      <c r="I51" s="123">
        <f t="shared" si="3"/>
        <v>0</v>
      </c>
      <c r="J51" s="152"/>
      <c r="K51" s="8">
        <v>72.78</v>
      </c>
      <c r="L51" s="8">
        <v>54.81</v>
      </c>
      <c r="M51" s="126">
        <v>12379.36</v>
      </c>
      <c r="N51" s="119">
        <v>0.9</v>
      </c>
      <c r="O51" s="126">
        <f>M51*N51</f>
        <v>11141.424000000001</v>
      </c>
      <c r="P51" s="10"/>
      <c r="Q51" s="152">
        <v>3003.79</v>
      </c>
      <c r="R51" s="10"/>
      <c r="V51" s="8">
        <v>3003.79</v>
      </c>
      <c r="X51" s="6"/>
    </row>
    <row r="52" spans="1:24" ht="24" customHeight="1" x14ac:dyDescent="0.25">
      <c r="A52" s="3">
        <v>49</v>
      </c>
      <c r="B52" s="166" t="s">
        <v>41</v>
      </c>
      <c r="C52" s="135"/>
      <c r="D52" s="139" t="s">
        <v>57</v>
      </c>
      <c r="E52" s="140"/>
      <c r="F52" s="2"/>
      <c r="G52" s="131"/>
      <c r="H52" s="127"/>
      <c r="I52" s="123">
        <f t="shared" si="3"/>
        <v>0</v>
      </c>
      <c r="J52" s="152"/>
      <c r="K52" s="8"/>
      <c r="L52" s="8"/>
      <c r="M52" s="126">
        <v>4200</v>
      </c>
      <c r="N52" s="119">
        <v>1</v>
      </c>
      <c r="O52" s="126">
        <f>M52*N52</f>
        <v>4200</v>
      </c>
      <c r="P52" s="10"/>
      <c r="Q52" s="152">
        <v>4200</v>
      </c>
      <c r="R52" s="10"/>
      <c r="V52" s="8">
        <v>4200</v>
      </c>
      <c r="X52" s="6"/>
    </row>
    <row r="53" spans="1:24" ht="24" customHeight="1" x14ac:dyDescent="0.25">
      <c r="A53" s="3">
        <v>50</v>
      </c>
      <c r="B53" s="166" t="s">
        <v>185</v>
      </c>
      <c r="C53" s="135"/>
      <c r="D53" s="139" t="s">
        <v>57</v>
      </c>
      <c r="E53" s="140"/>
      <c r="F53" s="2"/>
      <c r="G53" s="131"/>
      <c r="H53" s="127"/>
      <c r="I53" s="123">
        <f t="shared" si="3"/>
        <v>0</v>
      </c>
      <c r="J53" s="152"/>
      <c r="K53" s="8">
        <v>66.13</v>
      </c>
      <c r="L53" s="8">
        <v>32.29</v>
      </c>
      <c r="M53" s="126">
        <v>12379.36</v>
      </c>
      <c r="N53" s="119">
        <v>0.4</v>
      </c>
      <c r="O53" s="126">
        <f>N53*M53</f>
        <v>4951.7440000000006</v>
      </c>
      <c r="P53" s="10"/>
      <c r="Q53" s="152">
        <v>4200</v>
      </c>
      <c r="R53" s="10"/>
      <c r="V53" s="8">
        <v>4200</v>
      </c>
      <c r="X53" s="6"/>
    </row>
    <row r="54" spans="1:24" ht="24" customHeight="1" x14ac:dyDescent="0.25">
      <c r="A54" s="141">
        <v>39</v>
      </c>
      <c r="B54" s="167" t="s">
        <v>161</v>
      </c>
      <c r="C54" s="135"/>
      <c r="D54" s="139" t="s">
        <v>57</v>
      </c>
      <c r="E54" s="140"/>
      <c r="F54" s="2"/>
      <c r="G54" s="131"/>
      <c r="H54" s="127"/>
      <c r="I54" s="123">
        <f t="shared" si="1"/>
        <v>0</v>
      </c>
      <c r="J54" s="152"/>
      <c r="K54" s="8"/>
      <c r="L54" s="8"/>
      <c r="M54" s="126">
        <f t="shared" si="0"/>
        <v>0</v>
      </c>
      <c r="N54" s="119"/>
      <c r="O54" s="126">
        <v>2362.08</v>
      </c>
      <c r="P54" s="10"/>
      <c r="Q54" s="152">
        <v>2362.08</v>
      </c>
      <c r="R54" s="10"/>
      <c r="V54" s="8">
        <v>2362.08</v>
      </c>
      <c r="X54" s="6"/>
    </row>
    <row r="55" spans="1:24" ht="24" customHeight="1" x14ac:dyDescent="0.25">
      <c r="A55" s="141"/>
      <c r="B55" s="167" t="s">
        <v>191</v>
      </c>
      <c r="C55" s="135"/>
      <c r="D55" s="139" t="s">
        <v>57</v>
      </c>
      <c r="E55" s="140"/>
      <c r="F55" s="2"/>
      <c r="G55" s="131"/>
      <c r="H55" s="127"/>
      <c r="I55" s="123"/>
      <c r="J55" s="152"/>
      <c r="K55" s="8"/>
      <c r="L55" s="8"/>
      <c r="M55" s="126">
        <f>677.14+191.44+473.83</f>
        <v>1342.4099999999999</v>
      </c>
      <c r="N55" s="119">
        <v>1</v>
      </c>
      <c r="O55" s="126">
        <f>N55*M55</f>
        <v>1342.4099999999999</v>
      </c>
      <c r="P55" s="10"/>
      <c r="Q55" s="152"/>
      <c r="R55" s="10"/>
      <c r="V55" s="8"/>
      <c r="X55" s="6"/>
    </row>
    <row r="56" spans="1:24" ht="24" customHeight="1" x14ac:dyDescent="0.25">
      <c r="A56" s="3">
        <v>42</v>
      </c>
      <c r="B56" s="147" t="s">
        <v>50</v>
      </c>
      <c r="C56" s="135"/>
      <c r="D56" s="139" t="s">
        <v>57</v>
      </c>
      <c r="E56" s="140"/>
      <c r="F56" s="2"/>
      <c r="G56" s="131"/>
      <c r="H56" s="127"/>
      <c r="I56" s="123">
        <f t="shared" si="1"/>
        <v>0</v>
      </c>
      <c r="J56" s="152"/>
      <c r="K56" s="8"/>
      <c r="L56" s="8"/>
      <c r="M56" s="126">
        <f t="shared" si="0"/>
        <v>0</v>
      </c>
      <c r="N56" s="119"/>
      <c r="O56" s="126">
        <f>N56*M56</f>
        <v>0</v>
      </c>
      <c r="P56" s="10"/>
      <c r="Q56" s="152"/>
      <c r="R56" s="10"/>
      <c r="V56" s="8"/>
      <c r="X56" s="6"/>
    </row>
    <row r="57" spans="1:24" ht="24" customHeight="1" x14ac:dyDescent="0.25">
      <c r="A57" s="3">
        <v>43</v>
      </c>
      <c r="B57" s="147" t="s">
        <v>158</v>
      </c>
      <c r="C57" s="135"/>
      <c r="D57" s="139" t="s">
        <v>57</v>
      </c>
      <c r="E57" s="140"/>
      <c r="F57" s="2"/>
      <c r="G57" s="131"/>
      <c r="H57" s="127"/>
      <c r="I57" s="123">
        <f t="shared" si="1"/>
        <v>0</v>
      </c>
      <c r="J57" s="152"/>
      <c r="K57" s="8"/>
      <c r="L57" s="8"/>
      <c r="M57" s="126">
        <f t="shared" si="0"/>
        <v>0</v>
      </c>
      <c r="N57" s="119"/>
      <c r="O57" s="126">
        <f>N57*M57</f>
        <v>0</v>
      </c>
      <c r="P57" s="10"/>
      <c r="Q57" s="152"/>
      <c r="R57" s="10"/>
      <c r="V57" s="8"/>
      <c r="X57" s="6"/>
    </row>
    <row r="58" spans="1:24" ht="6.95" customHeight="1" x14ac:dyDescent="0.25">
      <c r="A58" s="3"/>
      <c r="B58" s="103"/>
      <c r="C58" s="136"/>
      <c r="D58" s="136"/>
      <c r="E58" s="136"/>
      <c r="F58" s="2"/>
      <c r="G58" s="133"/>
      <c r="H58" s="129"/>
      <c r="I58" s="124"/>
      <c r="J58" s="152"/>
      <c r="K58" s="2"/>
      <c r="L58" s="2"/>
      <c r="M58" s="124"/>
      <c r="N58" s="121"/>
      <c r="O58" s="124"/>
      <c r="P58" s="2"/>
      <c r="Q58" s="152"/>
      <c r="R58" s="2"/>
      <c r="V58" s="2"/>
      <c r="X58" s="2"/>
    </row>
    <row r="59" spans="1:24" ht="24" customHeight="1" x14ac:dyDescent="0.25">
      <c r="A59" s="3">
        <v>50</v>
      </c>
      <c r="B59" s="105" t="s">
        <v>38</v>
      </c>
      <c r="C59" s="135"/>
      <c r="D59" s="139"/>
      <c r="E59" s="140" t="s">
        <v>57</v>
      </c>
      <c r="F59" s="2"/>
      <c r="G59" s="131"/>
      <c r="H59" s="127"/>
      <c r="I59" s="123"/>
      <c r="J59" s="152"/>
      <c r="K59" s="8"/>
      <c r="L59" s="8"/>
      <c r="M59" s="126"/>
      <c r="N59" s="119"/>
      <c r="O59" s="126"/>
      <c r="P59" s="10"/>
      <c r="Q59" s="152"/>
      <c r="R59" s="10">
        <v>380</v>
      </c>
      <c r="V59" s="8"/>
      <c r="X59" s="6"/>
    </row>
    <row r="60" spans="1:24" ht="24" customHeight="1" x14ac:dyDescent="0.25">
      <c r="A60" s="3">
        <v>51</v>
      </c>
      <c r="B60" s="105" t="s">
        <v>39</v>
      </c>
      <c r="C60" s="135"/>
      <c r="D60" s="139"/>
      <c r="E60" s="140" t="s">
        <v>57</v>
      </c>
      <c r="F60" s="2"/>
      <c r="G60" s="131"/>
      <c r="H60" s="127"/>
      <c r="I60" s="123"/>
      <c r="J60" s="152"/>
      <c r="K60" s="8"/>
      <c r="L60" s="8"/>
      <c r="M60" s="126"/>
      <c r="N60" s="119"/>
      <c r="O60" s="126"/>
      <c r="P60" s="10"/>
      <c r="Q60" s="152"/>
      <c r="R60" s="10">
        <v>495</v>
      </c>
      <c r="V60" s="8"/>
      <c r="X60" s="6"/>
    </row>
    <row r="61" spans="1:24" ht="24" customHeight="1" x14ac:dyDescent="0.25">
      <c r="A61" s="3">
        <v>52</v>
      </c>
      <c r="B61" s="105" t="s">
        <v>46</v>
      </c>
      <c r="C61" s="135"/>
      <c r="D61" s="139"/>
      <c r="E61" s="140" t="s">
        <v>57</v>
      </c>
      <c r="F61" s="2"/>
      <c r="G61" s="131"/>
      <c r="H61" s="127"/>
      <c r="I61" s="123"/>
      <c r="J61" s="152"/>
      <c r="K61" s="8"/>
      <c r="L61" s="8"/>
      <c r="M61" s="126"/>
      <c r="N61" s="119"/>
      <c r="O61" s="126"/>
      <c r="P61" s="10"/>
      <c r="Q61" s="152"/>
      <c r="R61" s="10">
        <v>292</v>
      </c>
      <c r="V61" s="8"/>
      <c r="X61" s="6"/>
    </row>
    <row r="62" spans="1:24" ht="24" customHeight="1" x14ac:dyDescent="0.25">
      <c r="A62" s="3">
        <v>53</v>
      </c>
      <c r="B62" s="105" t="s">
        <v>187</v>
      </c>
      <c r="C62" s="135"/>
      <c r="D62" s="139"/>
      <c r="E62" s="140" t="s">
        <v>57</v>
      </c>
      <c r="F62" s="2"/>
      <c r="G62" s="131"/>
      <c r="H62" s="127"/>
      <c r="I62" s="123"/>
      <c r="J62" s="152"/>
      <c r="K62" s="8"/>
      <c r="L62" s="8"/>
      <c r="M62" s="126"/>
      <c r="N62" s="119"/>
      <c r="O62" s="126"/>
      <c r="P62" s="10"/>
      <c r="Q62" s="152"/>
      <c r="R62" s="10">
        <f>796.79+848.12</f>
        <v>1644.9099999999999</v>
      </c>
      <c r="V62" s="8"/>
      <c r="X62" s="6"/>
    </row>
    <row r="63" spans="1:24" ht="24" customHeight="1" x14ac:dyDescent="0.25">
      <c r="A63" s="3">
        <v>54</v>
      </c>
      <c r="B63" s="105" t="s">
        <v>42</v>
      </c>
      <c r="C63" s="135"/>
      <c r="D63" s="139"/>
      <c r="E63" s="140" t="s">
        <v>57</v>
      </c>
      <c r="F63" s="2"/>
      <c r="G63" s="131"/>
      <c r="H63" s="127"/>
      <c r="I63" s="123"/>
      <c r="J63" s="152"/>
      <c r="K63" s="8"/>
      <c r="L63" s="8"/>
      <c r="M63" s="126"/>
      <c r="N63" s="119"/>
      <c r="O63" s="126"/>
      <c r="P63" s="10"/>
      <c r="Q63" s="152"/>
      <c r="R63" s="10">
        <v>450.75</v>
      </c>
      <c r="V63" s="8"/>
      <c r="X63" s="6"/>
    </row>
    <row r="64" spans="1:24" ht="24" customHeight="1" x14ac:dyDescent="0.25">
      <c r="A64" s="3">
        <v>55</v>
      </c>
      <c r="B64" s="105" t="s">
        <v>43</v>
      </c>
      <c r="C64" s="135"/>
      <c r="D64" s="139"/>
      <c r="E64" s="140" t="s">
        <v>57</v>
      </c>
      <c r="F64" s="2"/>
      <c r="G64" s="131"/>
      <c r="H64" s="127"/>
      <c r="I64" s="123"/>
      <c r="J64" s="152"/>
      <c r="K64" s="8"/>
      <c r="L64" s="8"/>
      <c r="M64" s="126"/>
      <c r="N64" s="119"/>
      <c r="O64" s="126"/>
      <c r="P64" s="10"/>
      <c r="Q64" s="152"/>
      <c r="R64" s="149">
        <f>1027+(300*6)</f>
        <v>2827</v>
      </c>
      <c r="V64" s="8"/>
      <c r="X64" s="6"/>
    </row>
    <row r="65" spans="1:26" ht="24" customHeight="1" x14ac:dyDescent="0.25">
      <c r="A65" s="3">
        <v>56</v>
      </c>
      <c r="B65" s="105" t="s">
        <v>44</v>
      </c>
      <c r="C65" s="135"/>
      <c r="D65" s="139"/>
      <c r="E65" s="140" t="s">
        <v>57</v>
      </c>
      <c r="F65" s="2"/>
      <c r="G65" s="131"/>
      <c r="H65" s="127"/>
      <c r="I65" s="123"/>
      <c r="J65" s="152"/>
      <c r="K65" s="8"/>
      <c r="L65" s="8"/>
      <c r="M65" s="126"/>
      <c r="N65" s="119"/>
      <c r="O65" s="126"/>
      <c r="P65" s="10"/>
      <c r="Q65" s="152"/>
      <c r="R65" s="10">
        <v>234.75</v>
      </c>
      <c r="V65" s="8"/>
      <c r="X65" s="6"/>
    </row>
    <row r="66" spans="1:26" ht="24" customHeight="1" x14ac:dyDescent="0.25">
      <c r="A66" s="3">
        <v>57</v>
      </c>
      <c r="B66" s="105" t="s">
        <v>36</v>
      </c>
      <c r="C66" s="135"/>
      <c r="D66" s="139"/>
      <c r="E66" s="140" t="s">
        <v>57</v>
      </c>
      <c r="F66" s="2"/>
      <c r="G66" s="131"/>
      <c r="H66" s="127"/>
      <c r="I66" s="123"/>
      <c r="J66" s="152"/>
      <c r="K66" s="8"/>
      <c r="L66" s="8"/>
      <c r="M66" s="126"/>
      <c r="N66" s="119"/>
      <c r="O66" s="126"/>
      <c r="P66" s="10"/>
      <c r="Q66" s="152"/>
      <c r="R66" s="10">
        <v>850</v>
      </c>
      <c r="V66" s="8"/>
      <c r="X66" s="6"/>
    </row>
    <row r="67" spans="1:26" ht="24" customHeight="1" x14ac:dyDescent="0.25">
      <c r="A67" s="3"/>
      <c r="B67" s="4"/>
      <c r="C67" s="136"/>
      <c r="D67" s="136"/>
      <c r="E67" s="136"/>
      <c r="F67" s="2"/>
      <c r="G67" s="133"/>
      <c r="H67" s="129"/>
      <c r="I67" s="124"/>
      <c r="J67" s="152"/>
      <c r="K67" s="2"/>
      <c r="L67" s="2"/>
      <c r="M67" s="124"/>
      <c r="N67" s="121"/>
      <c r="O67" s="124"/>
      <c r="P67" s="2"/>
      <c r="Q67" s="152"/>
      <c r="R67" s="2"/>
      <c r="V67" s="2"/>
      <c r="X67" s="2"/>
    </row>
    <row r="68" spans="1:26" ht="24" customHeight="1" x14ac:dyDescent="0.25">
      <c r="A68" s="211" t="s">
        <v>167</v>
      </c>
      <c r="B68" s="205"/>
      <c r="C68" s="205"/>
      <c r="D68" s="205"/>
      <c r="E68" s="206"/>
      <c r="F68" s="2"/>
      <c r="G68" s="133"/>
      <c r="H68" s="129"/>
      <c r="I68" s="124">
        <f>SUM(I6:I66)</f>
        <v>86851.65399999998</v>
      </c>
      <c r="J68" s="154">
        <f>SUM(H6:J66)</f>
        <v>201030.58399999994</v>
      </c>
      <c r="K68" s="111">
        <f>SUM(H6:K66)</f>
        <v>209002.69399999984</v>
      </c>
      <c r="L68" s="111">
        <f>SUM(I6:L66)</f>
        <v>209339.88399999982</v>
      </c>
      <c r="M68" s="124">
        <f>SUM(K6:M66)</f>
        <v>180705.12440000006</v>
      </c>
      <c r="N68" s="121">
        <f>AVERAGE(N6:N66)</f>
        <v>0.84868421052631582</v>
      </c>
      <c r="O68" s="124">
        <f>SUM(O6:O66)</f>
        <v>204705.16754500003</v>
      </c>
      <c r="P68" s="111">
        <f>SUM(N6:P66)</f>
        <v>204737.41754500003</v>
      </c>
      <c r="Q68" s="154">
        <v>239106</v>
      </c>
      <c r="R68" s="124">
        <f>SUM(R6:R66)</f>
        <v>7174.41</v>
      </c>
      <c r="V68" s="111">
        <v>239106</v>
      </c>
      <c r="X68" s="111">
        <f>SUM(V6:X66)</f>
        <v>343809.33999999997</v>
      </c>
    </row>
    <row r="69" spans="1:26" ht="24" customHeight="1" x14ac:dyDescent="0.25">
      <c r="A69" s="137"/>
      <c r="B69" s="205" t="s">
        <v>171</v>
      </c>
      <c r="C69" s="205"/>
      <c r="D69" s="205"/>
      <c r="E69" s="206"/>
      <c r="F69" s="2"/>
      <c r="G69" s="133"/>
      <c r="H69" s="129"/>
      <c r="I69" s="124">
        <f>I68*2</f>
        <v>173703.30799999996</v>
      </c>
      <c r="J69" s="155">
        <f>J68*2</f>
        <v>402061.16799999989</v>
      </c>
      <c r="K69" s="2"/>
      <c r="L69" s="2"/>
      <c r="M69" s="124"/>
      <c r="N69" s="121"/>
      <c r="O69" s="124">
        <f>O68*2</f>
        <v>409410.33509000007</v>
      </c>
      <c r="P69" s="2"/>
      <c r="Q69" s="155">
        <f>Q68*2</f>
        <v>478212</v>
      </c>
      <c r="R69" s="112">
        <f>R68*8</f>
        <v>57395.28</v>
      </c>
      <c r="V69" s="112">
        <f>V68*2</f>
        <v>478212</v>
      </c>
      <c r="X69" s="112">
        <f>X68*2</f>
        <v>687618.67999999993</v>
      </c>
    </row>
    <row r="70" spans="1:26" ht="24" customHeight="1" x14ac:dyDescent="0.25">
      <c r="A70" s="137"/>
      <c r="B70" s="205" t="s">
        <v>177</v>
      </c>
      <c r="C70" s="205"/>
      <c r="D70" s="205"/>
      <c r="E70" s="206"/>
      <c r="F70" s="2"/>
      <c r="G70" s="133"/>
      <c r="H70" s="129"/>
      <c r="I70" s="124">
        <f>I69*6</f>
        <v>1042219.8479999998</v>
      </c>
      <c r="J70" s="155">
        <f>J69*6</f>
        <v>2412367.0079999994</v>
      </c>
      <c r="K70" s="2"/>
      <c r="L70" s="2"/>
      <c r="M70" s="124"/>
      <c r="N70" s="121"/>
      <c r="O70" s="124">
        <f>O69*6</f>
        <v>2456462.0105400002</v>
      </c>
      <c r="P70" s="2"/>
      <c r="Q70" s="155">
        <f>Q69*4</f>
        <v>1912848</v>
      </c>
      <c r="R70" s="112">
        <f>R69*4</f>
        <v>229581.12</v>
      </c>
      <c r="V70" s="112">
        <f>V69*4</f>
        <v>1912848</v>
      </c>
      <c r="X70" s="112">
        <f>X69*6</f>
        <v>4125712.0799999996</v>
      </c>
    </row>
    <row r="71" spans="1:26" ht="24" customHeight="1" x14ac:dyDescent="0.25">
      <c r="A71" s="137"/>
      <c r="B71" s="138"/>
      <c r="C71" s="138"/>
      <c r="D71" s="138"/>
      <c r="E71" s="113" t="s">
        <v>168</v>
      </c>
      <c r="F71" s="2"/>
      <c r="G71" s="133"/>
      <c r="H71" s="129"/>
      <c r="I71" s="124">
        <f>I69/23</f>
        <v>7552.3177391304334</v>
      </c>
      <c r="J71" s="155">
        <f>J69/23</f>
        <v>17480.920347826082</v>
      </c>
      <c r="K71" s="112">
        <f t="shared" ref="K71:Q71" si="4">K69/23</f>
        <v>0</v>
      </c>
      <c r="L71" s="112">
        <f t="shared" si="4"/>
        <v>0</v>
      </c>
      <c r="M71" s="124">
        <f t="shared" si="4"/>
        <v>0</v>
      </c>
      <c r="N71" s="121">
        <f t="shared" si="4"/>
        <v>0</v>
      </c>
      <c r="O71" s="124">
        <f t="shared" si="4"/>
        <v>17800.449351739135</v>
      </c>
      <c r="P71" s="112">
        <f t="shared" si="4"/>
        <v>0</v>
      </c>
      <c r="Q71" s="155">
        <f t="shared" si="4"/>
        <v>20791.82608695652</v>
      </c>
      <c r="R71" s="112">
        <f>R69/23</f>
        <v>2495.4469565217391</v>
      </c>
      <c r="V71" s="112">
        <f>V69/23</f>
        <v>20791.82608695652</v>
      </c>
      <c r="X71" s="112">
        <f>X69/23</f>
        <v>29896.464347826084</v>
      </c>
    </row>
    <row r="72" spans="1:26" ht="24" customHeight="1" x14ac:dyDescent="0.25">
      <c r="A72" s="137"/>
      <c r="B72" s="138"/>
      <c r="C72" s="138"/>
      <c r="D72" s="138"/>
      <c r="E72" s="113" t="s">
        <v>170</v>
      </c>
      <c r="F72" s="2"/>
      <c r="G72" s="133"/>
      <c r="H72" s="129"/>
      <c r="I72" s="124">
        <f>I77/5</f>
        <v>3736.4</v>
      </c>
      <c r="J72" s="154">
        <f>J77/5</f>
        <v>3736.4</v>
      </c>
      <c r="K72" s="111"/>
      <c r="L72" s="111"/>
      <c r="M72" s="124"/>
      <c r="N72" s="121"/>
      <c r="O72" s="124">
        <f>O77/5</f>
        <v>4554.3999999999996</v>
      </c>
      <c r="P72" s="2"/>
      <c r="Q72" s="152">
        <f>Q77/5</f>
        <v>4554.3999999999996</v>
      </c>
      <c r="R72" s="2"/>
      <c r="V72" s="2">
        <f>V77/5</f>
        <v>4554.3999999999996</v>
      </c>
      <c r="X72" s="111">
        <f>X77/5</f>
        <v>3736.4</v>
      </c>
      <c r="Y72" s="107">
        <f>V68/23</f>
        <v>10395.91304347826</v>
      </c>
    </row>
    <row r="73" spans="1:26" ht="24" customHeight="1" x14ac:dyDescent="0.25">
      <c r="A73" s="137"/>
      <c r="B73" s="138"/>
      <c r="C73" s="138"/>
      <c r="D73" s="138"/>
      <c r="E73" s="113" t="s">
        <v>169</v>
      </c>
      <c r="F73" s="2"/>
      <c r="G73" s="133"/>
      <c r="H73" s="129"/>
      <c r="I73" s="124">
        <f>I71/I72</f>
        <v>2.0212819128386772</v>
      </c>
      <c r="J73" s="152">
        <f>J71/J72</f>
        <v>4.6785462872888557</v>
      </c>
      <c r="K73" s="2"/>
      <c r="L73" s="2"/>
      <c r="M73" s="124"/>
      <c r="N73" s="121"/>
      <c r="O73" s="124">
        <f>O71/O72</f>
        <v>3.9084071121858281</v>
      </c>
      <c r="P73" s="2"/>
      <c r="Q73" s="158">
        <f>Q71/Q72</f>
        <v>4.5652173913043477</v>
      </c>
      <c r="R73" s="2">
        <v>2</v>
      </c>
      <c r="V73" s="114">
        <f>V71/V72</f>
        <v>4.5652173913043477</v>
      </c>
      <c r="X73" s="2">
        <f>X71/X72</f>
        <v>8.0014089358275573</v>
      </c>
    </row>
    <row r="74" spans="1:26" ht="24" customHeight="1" x14ac:dyDescent="0.25">
      <c r="A74" s="3"/>
      <c r="B74" s="4"/>
      <c r="C74" s="135"/>
      <c r="D74" s="139"/>
      <c r="E74" s="140"/>
      <c r="F74" s="2"/>
      <c r="G74" s="131"/>
      <c r="H74" s="127"/>
      <c r="I74" s="123">
        <v>2</v>
      </c>
      <c r="J74" s="152">
        <v>2</v>
      </c>
      <c r="K74" s="8"/>
      <c r="L74" s="8"/>
      <c r="M74" s="126"/>
      <c r="N74" s="119"/>
      <c r="O74" s="126">
        <v>5</v>
      </c>
      <c r="P74" s="10"/>
      <c r="Q74" s="152">
        <v>5</v>
      </c>
      <c r="R74" s="10">
        <v>2</v>
      </c>
      <c r="T74" s="106"/>
      <c r="V74" s="8">
        <v>5</v>
      </c>
      <c r="W74">
        <f>O72*3</f>
        <v>13663.199999999999</v>
      </c>
      <c r="X74" s="6">
        <v>2</v>
      </c>
      <c r="Z74" s="107"/>
    </row>
    <row r="76" spans="1:26" x14ac:dyDescent="0.25">
      <c r="T76" s="107"/>
      <c r="U76" s="107"/>
      <c r="Y76" s="107">
        <f>X76-Y77</f>
        <v>-56046</v>
      </c>
    </row>
    <row r="77" spans="1:26" x14ac:dyDescent="0.25">
      <c r="I77" s="125">
        <f>18682</f>
        <v>18682</v>
      </c>
      <c r="J77" s="150">
        <f>18682</f>
        <v>18682</v>
      </c>
      <c r="O77" s="125">
        <f>22772</f>
        <v>22772</v>
      </c>
      <c r="Q77" s="150">
        <f>22772</f>
        <v>22772</v>
      </c>
      <c r="R77" t="s">
        <v>175</v>
      </c>
      <c r="V77">
        <f>22772</f>
        <v>22772</v>
      </c>
      <c r="X77">
        <f>18682</f>
        <v>18682</v>
      </c>
      <c r="Y77">
        <f>X77*3</f>
        <v>56046</v>
      </c>
    </row>
    <row r="79" spans="1:26" x14ac:dyDescent="0.25">
      <c r="Y79">
        <f>12000*3*23</f>
        <v>828000</v>
      </c>
    </row>
    <row r="80" spans="1:26" x14ac:dyDescent="0.25">
      <c r="I80" s="125">
        <f>I69/21</f>
        <v>8271.5860952380935</v>
      </c>
      <c r="J80" s="156">
        <f>J69/21</f>
        <v>19145.769904761899</v>
      </c>
      <c r="O80" s="125">
        <f>O69/21</f>
        <v>19495.730242380956</v>
      </c>
      <c r="X80" s="107">
        <f>X69/21</f>
        <v>32743.746666666662</v>
      </c>
    </row>
  </sheetData>
  <mergeCells count="24">
    <mergeCell ref="M4:M5"/>
    <mergeCell ref="N4:N5"/>
    <mergeCell ref="O4:O5"/>
    <mergeCell ref="G4:G5"/>
    <mergeCell ref="H4:H5"/>
    <mergeCell ref="I4:I5"/>
    <mergeCell ref="J4:J5"/>
    <mergeCell ref="L4:L5"/>
    <mergeCell ref="V4:V5"/>
    <mergeCell ref="X4:X5"/>
    <mergeCell ref="A68:E68"/>
    <mergeCell ref="B69:E69"/>
    <mergeCell ref="B70:E70"/>
    <mergeCell ref="P4:P5"/>
    <mergeCell ref="Q4:Q5"/>
    <mergeCell ref="R4:R5"/>
    <mergeCell ref="A3:A5"/>
    <mergeCell ref="B3:B5"/>
    <mergeCell ref="C3:C5"/>
    <mergeCell ref="D3:D5"/>
    <mergeCell ref="E3:E5"/>
    <mergeCell ref="F3:F5"/>
    <mergeCell ref="G3:I3"/>
    <mergeCell ref="K3:O3"/>
  </mergeCells>
  <printOptions horizontalCentered="1"/>
  <pageMargins left="0.25" right="0.25" top="0.75" bottom="0.75" header="0.3" footer="0.3"/>
  <pageSetup paperSize="9" scale="37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 LUASAN FN (3)</vt:lpstr>
      <vt:lpstr>ANALISA BIAYA R1</vt:lpstr>
      <vt:lpstr>BoQ</vt:lpstr>
      <vt:lpstr>TABEL LUASAN FN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Imron Pratama</cp:lastModifiedBy>
  <cp:lastPrinted>2022-09-05T23:37:24Z</cp:lastPrinted>
  <dcterms:created xsi:type="dcterms:W3CDTF">2022-05-12T06:09:30Z</dcterms:created>
  <dcterms:modified xsi:type="dcterms:W3CDTF">2023-02-06T09:06:25Z</dcterms:modified>
</cp:coreProperties>
</file>